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DayArchive\"/>
    </mc:Choice>
  </mc:AlternateContent>
  <xr:revisionPtr revIDLastSave="0" documentId="8_{59C698A4-BDF5-49D8-875D-BA92DF4A7FF7}" xr6:coauthVersionLast="47" xr6:coauthVersionMax="47" xr10:uidLastSave="{00000000-0000-0000-0000-000000000000}"/>
  <bookViews>
    <workbookView xWindow="-120" yWindow="-120" windowWidth="20730" windowHeight="11160" tabRatio="814"/>
  </bookViews>
  <sheets>
    <sheet name="2006" sheetId="1" r:id="rId1"/>
  </sheets>
  <definedNames>
    <definedName name="_xlnm.Print_Area" localSheetId="0">'2006'!$A$1:$R$256</definedName>
    <definedName name="_xlnm.Print_Titles" localSheetId="0">'2006'!$1:$4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0" i="1" l="1"/>
  <c r="S41" i="1"/>
  <c r="S42" i="1"/>
  <c r="S43" i="1"/>
  <c r="S44" i="1"/>
  <c r="S45" i="1"/>
  <c r="S46" i="1"/>
  <c r="S47" i="1"/>
  <c r="S48" i="1"/>
  <c r="S49" i="1"/>
  <c r="L242" i="1"/>
  <c r="R239" i="1"/>
  <c r="R240" i="1" s="1"/>
  <c r="R241" i="1" s="1"/>
  <c r="Q239" i="1"/>
  <c r="Q240" i="1"/>
  <c r="Q241" i="1" s="1"/>
  <c r="F241" i="1"/>
  <c r="F240" i="1"/>
  <c r="F237" i="1"/>
  <c r="F238" i="1"/>
  <c r="F239" i="1"/>
  <c r="R236" i="1"/>
  <c r="Q236" i="1"/>
  <c r="F236" i="1"/>
  <c r="R232" i="1"/>
  <c r="R233" i="1"/>
  <c r="R234" i="1" s="1"/>
  <c r="R235" i="1" s="1"/>
  <c r="Q232" i="1"/>
  <c r="Q233" i="1"/>
  <c r="Q234" i="1"/>
  <c r="Q235" i="1" s="1"/>
  <c r="F235" i="1"/>
  <c r="F234" i="1"/>
  <c r="F232" i="1"/>
  <c r="R231" i="1"/>
  <c r="Q231" i="1"/>
  <c r="F231" i="1"/>
  <c r="R228" i="1"/>
  <c r="R229" i="1" s="1"/>
  <c r="R230" i="1" s="1"/>
  <c r="Q228" i="1"/>
  <c r="Q229" i="1" s="1"/>
  <c r="Q230" i="1" s="1"/>
  <c r="F230" i="1"/>
  <c r="F229" i="1"/>
  <c r="F228" i="1"/>
  <c r="R227" i="1"/>
  <c r="Q227" i="1"/>
  <c r="F227" i="1"/>
  <c r="R226" i="1"/>
  <c r="Q226" i="1"/>
  <c r="F226" i="1"/>
  <c r="R222" i="1"/>
  <c r="R223" i="1"/>
  <c r="R224" i="1" s="1"/>
  <c r="R225" i="1" s="1"/>
  <c r="Q222" i="1"/>
  <c r="Q223" i="1" s="1"/>
  <c r="Q224" i="1" s="1"/>
  <c r="Q225" i="1" s="1"/>
  <c r="F225" i="1"/>
  <c r="F224" i="1"/>
  <c r="F223" i="1"/>
  <c r="F222" i="1"/>
  <c r="R221" i="1"/>
  <c r="Q221" i="1"/>
  <c r="F221" i="1"/>
  <c r="R220" i="1"/>
  <c r="Q220" i="1"/>
  <c r="F220" i="1"/>
  <c r="R218" i="1"/>
  <c r="R219" i="1" s="1"/>
  <c r="Q218" i="1"/>
  <c r="Q219" i="1" s="1"/>
  <c r="F219" i="1"/>
  <c r="F218" i="1"/>
  <c r="F217" i="1"/>
  <c r="R216" i="1"/>
  <c r="Q216" i="1"/>
  <c r="F216" i="1"/>
  <c r="F215" i="1"/>
  <c r="R211" i="1"/>
  <c r="R212" i="1" s="1"/>
  <c r="R213" i="1" s="1"/>
  <c r="R214" i="1" s="1"/>
  <c r="Q211" i="1"/>
  <c r="Q212" i="1" s="1"/>
  <c r="Q213" i="1" s="1"/>
  <c r="Q214" i="1" s="1"/>
  <c r="F214" i="1"/>
  <c r="F213" i="1"/>
  <c r="F212" i="1"/>
  <c r="F211" i="1"/>
  <c r="R207" i="1"/>
  <c r="R208" i="1" s="1"/>
  <c r="R209" i="1" s="1"/>
  <c r="Q207" i="1"/>
  <c r="Q208" i="1" s="1"/>
  <c r="Q209" i="1" s="1"/>
  <c r="F209" i="1"/>
  <c r="F208" i="1"/>
  <c r="F207" i="1"/>
  <c r="F206" i="1"/>
  <c r="R205" i="1"/>
  <c r="Q205" i="1"/>
  <c r="F205" i="1"/>
  <c r="R202" i="1"/>
  <c r="R203" i="1" s="1"/>
  <c r="R204" i="1" s="1"/>
  <c r="Q202" i="1"/>
  <c r="Q203" i="1" s="1"/>
  <c r="Q204" i="1" s="1"/>
  <c r="F204" i="1"/>
  <c r="F203" i="1"/>
  <c r="F202" i="1"/>
  <c r="F201" i="1"/>
  <c r="R199" i="1"/>
  <c r="R200" i="1"/>
  <c r="Q199" i="1"/>
  <c r="Q200" i="1" s="1"/>
  <c r="F200" i="1"/>
  <c r="F199" i="1"/>
  <c r="R177" i="1"/>
  <c r="R178" i="1"/>
  <c r="R179" i="1"/>
  <c r="R180" i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Q177" i="1"/>
  <c r="Q178" i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N197" i="1"/>
  <c r="F197" i="1"/>
  <c r="F196" i="1"/>
  <c r="N195" i="1"/>
  <c r="F195" i="1"/>
  <c r="N194" i="1"/>
  <c r="F194" i="1"/>
  <c r="N193" i="1"/>
  <c r="F193" i="1"/>
  <c r="N192" i="1"/>
  <c r="F192" i="1"/>
  <c r="N191" i="1"/>
  <c r="F191" i="1"/>
  <c r="N190" i="1"/>
  <c r="F190" i="1"/>
  <c r="N189" i="1"/>
  <c r="N188" i="1"/>
  <c r="N187" i="1"/>
  <c r="F189" i="1"/>
  <c r="F188" i="1"/>
  <c r="F187" i="1"/>
  <c r="N186" i="1"/>
  <c r="F186" i="1"/>
  <c r="N185" i="1"/>
  <c r="N184" i="1"/>
  <c r="F185" i="1"/>
  <c r="F184" i="1"/>
  <c r="N183" i="1"/>
  <c r="F183" i="1"/>
  <c r="N182" i="1"/>
  <c r="F182" i="1"/>
  <c r="N181" i="1"/>
  <c r="F181" i="1"/>
  <c r="N180" i="1"/>
  <c r="F180" i="1"/>
  <c r="N179" i="1"/>
  <c r="F179" i="1"/>
  <c r="N178" i="1"/>
  <c r="F178" i="1"/>
  <c r="K177" i="1"/>
  <c r="N177" i="1"/>
  <c r="F177" i="1"/>
  <c r="F176" i="1"/>
  <c r="F175" i="1"/>
  <c r="N167" i="1"/>
  <c r="R166" i="1"/>
  <c r="R167" i="1" s="1"/>
  <c r="Q166" i="1"/>
  <c r="Q167" i="1"/>
  <c r="N166" i="1"/>
  <c r="F167" i="1"/>
  <c r="F166" i="1"/>
  <c r="R162" i="1"/>
  <c r="Q162" i="1"/>
  <c r="K162" i="1"/>
  <c r="N162" i="1"/>
  <c r="F162" i="1"/>
  <c r="R156" i="1"/>
  <c r="R157" i="1" s="1"/>
  <c r="R158" i="1" s="1"/>
  <c r="R159" i="1" s="1"/>
  <c r="R160" i="1" s="1"/>
  <c r="R161" i="1" s="1"/>
  <c r="Q156" i="1"/>
  <c r="Q157" i="1"/>
  <c r="Q158" i="1"/>
  <c r="Q159" i="1" s="1"/>
  <c r="Q160" i="1" s="1"/>
  <c r="Q161" i="1" s="1"/>
  <c r="K161" i="1"/>
  <c r="N161" i="1" s="1"/>
  <c r="K160" i="1"/>
  <c r="N160" i="1"/>
  <c r="F161" i="1"/>
  <c r="F160" i="1"/>
  <c r="K159" i="1"/>
  <c r="N159" i="1"/>
  <c r="F159" i="1"/>
  <c r="K158" i="1"/>
  <c r="N158" i="1"/>
  <c r="F158" i="1"/>
  <c r="K157" i="1"/>
  <c r="N157" i="1" s="1"/>
  <c r="F157" i="1"/>
  <c r="K156" i="1"/>
  <c r="N156" i="1" s="1"/>
  <c r="F156" i="1"/>
  <c r="R152" i="1"/>
  <c r="R153" i="1"/>
  <c r="Q152" i="1"/>
  <c r="Q153" i="1" s="1"/>
  <c r="K153" i="1"/>
  <c r="N153" i="1"/>
  <c r="F153" i="1"/>
  <c r="K152" i="1"/>
  <c r="N152" i="1"/>
  <c r="F152" i="1"/>
  <c r="F5" i="1"/>
  <c r="K5" i="1"/>
  <c r="N5" i="1"/>
  <c r="F6" i="1"/>
  <c r="N6" i="1"/>
  <c r="F7" i="1"/>
  <c r="N7" i="1"/>
  <c r="F8" i="1"/>
  <c r="N8" i="1"/>
  <c r="F9" i="1"/>
  <c r="K9" i="1"/>
  <c r="N9" i="1"/>
  <c r="F10" i="1"/>
  <c r="N10" i="1"/>
  <c r="F11" i="1"/>
  <c r="N11" i="1"/>
  <c r="F12" i="1"/>
  <c r="N12" i="1"/>
  <c r="F13" i="1"/>
  <c r="N13" i="1"/>
  <c r="N15" i="1"/>
  <c r="N16" i="1"/>
  <c r="F21" i="1"/>
  <c r="N21" i="1"/>
  <c r="F22" i="1"/>
  <c r="F28" i="1"/>
  <c r="Q28" i="1"/>
  <c r="Q29" i="1" s="1"/>
  <c r="R28" i="1"/>
  <c r="R29" i="1" s="1"/>
  <c r="F29" i="1"/>
  <c r="N29" i="1"/>
  <c r="F33" i="1"/>
  <c r="K33" i="1"/>
  <c r="N33" i="1"/>
  <c r="Q33" i="1"/>
  <c r="Q34" i="1" s="1"/>
  <c r="R33" i="1"/>
  <c r="R34" i="1" s="1"/>
  <c r="F34" i="1"/>
  <c r="K34" i="1"/>
  <c r="N34" i="1"/>
  <c r="F39" i="1"/>
  <c r="K39" i="1"/>
  <c r="N39" i="1" s="1"/>
  <c r="Q39" i="1"/>
  <c r="Q40" i="1" s="1"/>
  <c r="Q41" i="1" s="1"/>
  <c r="R39" i="1"/>
  <c r="F40" i="1"/>
  <c r="N40" i="1"/>
  <c r="R40" i="1"/>
  <c r="R41" i="1" s="1"/>
  <c r="F41" i="1"/>
  <c r="N41" i="1"/>
  <c r="N47" i="1"/>
  <c r="N48" i="1"/>
  <c r="N49" i="1"/>
  <c r="Q49" i="1"/>
  <c r="R49" i="1"/>
  <c r="R50" i="1" s="1"/>
  <c r="R51" i="1" s="1"/>
  <c r="F50" i="1"/>
  <c r="K50" i="1"/>
  <c r="N50" i="1"/>
  <c r="Q50" i="1"/>
  <c r="Q51" i="1" s="1"/>
  <c r="F51" i="1"/>
  <c r="K51" i="1"/>
  <c r="N51" i="1"/>
  <c r="F52" i="1"/>
  <c r="N52" i="1"/>
  <c r="Q52" i="1"/>
  <c r="R52" i="1"/>
  <c r="F53" i="1"/>
  <c r="N53" i="1"/>
  <c r="Q53" i="1"/>
  <c r="R53" i="1"/>
  <c r="N54" i="1"/>
  <c r="N55" i="1"/>
  <c r="F56" i="1"/>
  <c r="N56" i="1"/>
  <c r="Q56" i="1"/>
  <c r="Q57" i="1" s="1"/>
  <c r="R56" i="1"/>
  <c r="R57" i="1" s="1"/>
  <c r="F57" i="1"/>
  <c r="N57" i="1"/>
  <c r="N58" i="1"/>
  <c r="N60" i="1"/>
  <c r="N61" i="1"/>
  <c r="F62" i="1"/>
  <c r="N62" i="1"/>
  <c r="Q62" i="1"/>
  <c r="Q63" i="1" s="1"/>
  <c r="Q64" i="1" s="1"/>
  <c r="Q65" i="1" s="1"/>
  <c r="R62" i="1"/>
  <c r="F63" i="1"/>
  <c r="N63" i="1"/>
  <c r="R63" i="1"/>
  <c r="R64" i="1" s="1"/>
  <c r="R65" i="1" s="1"/>
  <c r="F64" i="1"/>
  <c r="N64" i="1"/>
  <c r="F65" i="1"/>
  <c r="N65" i="1"/>
  <c r="F76" i="1"/>
  <c r="N76" i="1"/>
  <c r="Q76" i="1"/>
  <c r="R76" i="1"/>
  <c r="R77" i="1" s="1"/>
  <c r="R78" i="1" s="1"/>
  <c r="R79" i="1" s="1"/>
  <c r="N77" i="1"/>
  <c r="Q77" i="1"/>
  <c r="Q78" i="1" s="1"/>
  <c r="Q79" i="1" s="1"/>
  <c r="F78" i="1"/>
  <c r="N78" i="1"/>
  <c r="F79" i="1"/>
  <c r="N79" i="1"/>
  <c r="F84" i="1"/>
  <c r="N84" i="1"/>
  <c r="Q84" i="1"/>
  <c r="R84" i="1"/>
  <c r="R85" i="1" s="1"/>
  <c r="R86" i="1" s="1"/>
  <c r="R87" i="1" s="1"/>
  <c r="F85" i="1"/>
  <c r="N85" i="1"/>
  <c r="Q85" i="1"/>
  <c r="Q86" i="1" s="1"/>
  <c r="Q87" i="1" s="1"/>
  <c r="F86" i="1"/>
  <c r="N86" i="1"/>
  <c r="F87" i="1"/>
  <c r="N87" i="1"/>
  <c r="F88" i="1"/>
  <c r="N88" i="1"/>
  <c r="Q88" i="1"/>
  <c r="R88" i="1"/>
  <c r="F89" i="1"/>
  <c r="N89" i="1"/>
  <c r="F90" i="1"/>
  <c r="N90" i="1"/>
  <c r="F91" i="1"/>
  <c r="N91" i="1"/>
  <c r="F92" i="1"/>
  <c r="N92" i="1"/>
  <c r="F93" i="1"/>
  <c r="N93" i="1"/>
  <c r="Q93" i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R93" i="1"/>
  <c r="F94" i="1"/>
  <c r="N94" i="1"/>
  <c r="R94" i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F95" i="1"/>
  <c r="N95" i="1"/>
  <c r="F96" i="1"/>
  <c r="N96" i="1"/>
  <c r="F97" i="1"/>
  <c r="N97" i="1"/>
  <c r="F98" i="1"/>
  <c r="N98" i="1"/>
  <c r="F99" i="1"/>
  <c r="N99" i="1"/>
  <c r="F100" i="1"/>
  <c r="N100" i="1"/>
  <c r="F101" i="1"/>
  <c r="N101" i="1"/>
  <c r="F102" i="1"/>
  <c r="N102" i="1"/>
  <c r="F103" i="1"/>
  <c r="N103" i="1"/>
  <c r="F104" i="1"/>
  <c r="N104" i="1"/>
  <c r="F111" i="1"/>
  <c r="N111" i="1"/>
  <c r="Q111" i="1"/>
  <c r="Q112" i="1" s="1"/>
  <c r="Q113" i="1" s="1"/>
  <c r="Q114" i="1" s="1"/>
  <c r="R111" i="1"/>
  <c r="R112" i="1" s="1"/>
  <c r="R113" i="1" s="1"/>
  <c r="R114" i="1" s="1"/>
  <c r="F112" i="1"/>
  <c r="N112" i="1"/>
  <c r="F113" i="1"/>
  <c r="N113" i="1"/>
  <c r="F114" i="1"/>
  <c r="N114" i="1"/>
  <c r="F115" i="1"/>
  <c r="F116" i="1"/>
  <c r="F118" i="1"/>
  <c r="N118" i="1"/>
  <c r="Q118" i="1"/>
  <c r="R118" i="1"/>
  <c r="F119" i="1"/>
  <c r="N119" i="1"/>
  <c r="Q119" i="1"/>
  <c r="R119" i="1"/>
  <c r="F120" i="1"/>
  <c r="N120" i="1"/>
  <c r="Q120" i="1"/>
  <c r="R120" i="1"/>
  <c r="R121" i="1" s="1"/>
  <c r="R122" i="1" s="1"/>
  <c r="R123" i="1" s="1"/>
  <c r="R124" i="1" s="1"/>
  <c r="R125" i="1" s="1"/>
  <c r="R126" i="1" s="1"/>
  <c r="F121" i="1"/>
  <c r="N121" i="1"/>
  <c r="Q121" i="1"/>
  <c r="Q122" i="1" s="1"/>
  <c r="Q123" i="1" s="1"/>
  <c r="Q124" i="1" s="1"/>
  <c r="Q125" i="1" s="1"/>
  <c r="Q126" i="1" s="1"/>
  <c r="F122" i="1"/>
  <c r="N122" i="1"/>
  <c r="F123" i="1"/>
  <c r="N123" i="1"/>
  <c r="F124" i="1"/>
  <c r="K124" i="1"/>
  <c r="N124" i="1"/>
  <c r="F125" i="1"/>
  <c r="N125" i="1"/>
  <c r="F126" i="1"/>
  <c r="N126" i="1"/>
  <c r="F127" i="1"/>
  <c r="F128" i="1"/>
  <c r="Q128" i="1"/>
  <c r="Q129" i="1" s="1"/>
  <c r="R128" i="1"/>
  <c r="F129" i="1"/>
  <c r="R129" i="1"/>
  <c r="F130" i="1"/>
  <c r="F131" i="1"/>
  <c r="F132" i="1"/>
  <c r="F133" i="1"/>
  <c r="N133" i="1"/>
  <c r="Q133" i="1"/>
  <c r="R133" i="1"/>
  <c r="F134" i="1"/>
  <c r="K134" i="1"/>
  <c r="N134" i="1" s="1"/>
  <c r="Q134" i="1"/>
  <c r="R134" i="1"/>
  <c r="R135" i="1" s="1"/>
  <c r="R136" i="1" s="1"/>
  <c r="R137" i="1" s="1"/>
  <c r="F135" i="1"/>
  <c r="K135" i="1"/>
  <c r="N135" i="1"/>
  <c r="Q135" i="1"/>
  <c r="Q136" i="1" s="1"/>
  <c r="Q137" i="1" s="1"/>
  <c r="F136" i="1"/>
  <c r="K136" i="1"/>
  <c r="N136" i="1"/>
  <c r="F137" i="1"/>
  <c r="K137" i="1"/>
  <c r="N137" i="1" s="1"/>
  <c r="F144" i="1"/>
  <c r="K144" i="1"/>
  <c r="N144" i="1" s="1"/>
  <c r="Q144" i="1"/>
  <c r="R144" i="1"/>
  <c r="R145" i="1" s="1"/>
  <c r="R146" i="1" s="1"/>
  <c r="R147" i="1" s="1"/>
  <c r="F145" i="1"/>
  <c r="K145" i="1"/>
  <c r="N145" i="1"/>
  <c r="Q145" i="1"/>
  <c r="Q146" i="1" s="1"/>
  <c r="Q147" i="1" s="1"/>
  <c r="F146" i="1"/>
  <c r="K146" i="1"/>
  <c r="N146" i="1"/>
  <c r="F147" i="1"/>
  <c r="K147" i="1"/>
  <c r="N147" i="1"/>
  <c r="F148" i="1"/>
  <c r="K148" i="1"/>
  <c r="N148" i="1" s="1"/>
  <c r="F149" i="1"/>
  <c r="K149" i="1"/>
  <c r="N149" i="1"/>
</calcChain>
</file>

<file path=xl/sharedStrings.xml><?xml version="1.0" encoding="utf-8"?>
<sst xmlns="http://schemas.openxmlformats.org/spreadsheetml/2006/main" count="848" uniqueCount="46">
  <si>
    <t>BZ NBS</t>
  </si>
  <si>
    <t>RSOB</t>
  </si>
  <si>
    <t>NAPOMENE:</t>
  </si>
  <si>
    <r>
      <t>3)</t>
    </r>
    <r>
      <rPr>
        <sz val="8"/>
        <rFont val="Arial"/>
        <family val="2"/>
        <charset val="238"/>
      </rPr>
      <t xml:space="preserve"> Diskontni iznos HoV i nominalni iznos HoV - prilikom trajne prodaje,
    Kupovna cena HoV i reotkupna cena HoV - prilikom repo prodaje.</t>
    </r>
  </si>
  <si>
    <r>
      <t>4)</t>
    </r>
    <r>
      <rPr>
        <sz val="8"/>
        <rFont val="Arial"/>
        <family val="2"/>
        <charset val="238"/>
      </rPr>
      <t xml:space="preserve"> Kod aukcija po fiksnoj kamatnoj stopi prikazana je unapred utvrđena kamatna stopa (repo stopa) iz Odluke o 
    aukciji, koja je istovremeno i prosečna ponderisana kamatna (repo) stopa za tu aukciju. </t>
    </r>
  </si>
  <si>
    <r>
      <t>5)</t>
    </r>
    <r>
      <rPr>
        <sz val="8"/>
        <rFont val="Arial"/>
        <family val="2"/>
        <charset val="238"/>
      </rPr>
      <t xml:space="preserve"> Diskontni iznos HoV i reotkupna cena HoV za prodate HoV se računaju po prostoj metodi act/360.</t>
    </r>
  </si>
  <si>
    <r>
      <t>6)</t>
    </r>
    <r>
      <rPr>
        <sz val="8"/>
        <rFont val="Arial"/>
        <family val="2"/>
        <charset val="238"/>
      </rPr>
      <t xml:space="preserve"> Za period 2000.-2005. godina svi podaci su prikazani zbirno, osim stanja hartija od vrednosti u portfelju banaka koje predstavlja stanje na 31.12. svake godine.</t>
    </r>
  </si>
  <si>
    <r>
      <t xml:space="preserve">8)  </t>
    </r>
    <r>
      <rPr>
        <sz val="8"/>
        <rFont val="Arial"/>
        <family val="2"/>
        <charset val="238"/>
      </rPr>
      <t xml:space="preserve">Koeficijent realizacije na aukciji se izračunava u odnosu na nominalnu vrednost HoV koju je NBS objavila, </t>
    </r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ukoliko ova vrednost nije objavljena koeficijent realizacije se računa u odnosu na dostavljene ponude banaka.</t>
    </r>
  </si>
  <si>
    <t>-</t>
  </si>
  <si>
    <r>
      <t xml:space="preserve">7)  </t>
    </r>
    <r>
      <rPr>
        <sz val="8"/>
        <rFont val="Arial"/>
        <family val="2"/>
        <charset val="238"/>
      </rPr>
      <t>Ukoliko u koloni Emitovano/ponuđeno na prodaju nije naveden iznos, radi se o modelu aukcija na kojima Narodna banka Srbije ne objavljuje unapred nominalnu vrednost hartija koje se prodaju.</t>
    </r>
  </si>
  <si>
    <t xml:space="preserve"> -</t>
  </si>
  <si>
    <t>Pregled aukcijske trgovine hartijama od vrednosti kojima NBS obavlja operacije na otvorenom tržištu,
po danima za 2006. godinu / Report on auction trade of securities used in open market operations of the NBS, daily for 2006</t>
  </si>
  <si>
    <t>u dinarima/ in dinars</t>
  </si>
  <si>
    <t>Godina/
Year</t>
  </si>
  <si>
    <t>Red.br.aukcije/
Auction number</t>
  </si>
  <si>
    <t>Vrsta aukcije/
Type of auction</t>
  </si>
  <si>
    <t>Vrsta transakcije/
Type of transaction</t>
  </si>
  <si>
    <t>Datum aukcije/
Auction date</t>
  </si>
  <si>
    <t>Ročnost transakcija/
Maturity of transaction</t>
  </si>
  <si>
    <t>Datum dospeća/
Maturity date</t>
  </si>
  <si>
    <t>Emitovano/
ponuđeno na prodaju - nominalni iznos HoV /Volume of issue
/offered for sale - nominal value of securities</t>
  </si>
  <si>
    <t>Procenat uvećanja/
Upward percentage adjustment</t>
  </si>
  <si>
    <t>Kupovna cena HoV (repo transakcije)/
Purchase price of securities (repo transactions)</t>
  </si>
  <si>
    <t>Prodato HoV/Sold securities</t>
  </si>
  <si>
    <t>Diskontni iznos/
kupovna cena/
Discount value/
purchase price</t>
  </si>
  <si>
    <t>Nominalni iznos/
reotkupna cena/
Nominal value/
repurchase price</t>
  </si>
  <si>
    <t>Procenat realizacije/
Realization ratio</t>
  </si>
  <si>
    <t>Najviša prihvaćena kamatna stopa na aukciji (p.a.)/
The highest accepted interest rate on auction (p.a.)</t>
  </si>
  <si>
    <t>Prosečna ponderisana kamatna stopa (p.a.)/
Average weighted interest rate (p.a.)</t>
  </si>
  <si>
    <t>Stanje HoV/Outstanding of securities</t>
  </si>
  <si>
    <t xml:space="preserve">    fiks. - aukcije po metodi fiksne kamatne stope. /  fix. - fixed interest rate auctions.</t>
  </si>
  <si>
    <r>
      <t>2)</t>
    </r>
    <r>
      <rPr>
        <sz val="8"/>
        <rFont val="Arial"/>
        <family val="2"/>
        <charset val="238"/>
      </rPr>
      <t xml:space="preserve"> BZ NBS - blagajnički zapisi Narodne Banke Srbije, RSOB - dugoročne obveznice Republike Srbije /  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BZ NBS - NBS Bills, RSOB - long-term bonds of the Republic of Serbia.</t>
    </r>
  </si>
  <si>
    <r>
      <t>5)</t>
    </r>
    <r>
      <rPr>
        <sz val="8"/>
        <rFont val="Arial"/>
        <family val="2"/>
        <charset val="238"/>
      </rPr>
      <t xml:space="preserve"> Discount value of sold securities and repurchase price of sold securities are calculated by proportional method act/360.</t>
    </r>
  </si>
  <si>
    <r>
      <t xml:space="preserve">/ 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 For period 2000-2005 aggregate data are presented, except banks securities potfolio statement, which is presented with statement on December 31st, every year</t>
    </r>
  </si>
  <si>
    <r>
      <t>/</t>
    </r>
    <r>
      <rPr>
        <vertAlign val="superscript"/>
        <sz val="8"/>
        <rFont val="Arial"/>
        <family val="2"/>
        <charset val="238"/>
      </rPr>
      <t xml:space="preserve"> 3)</t>
    </r>
    <r>
      <rPr>
        <sz val="8"/>
        <rFont val="Arial"/>
        <family val="2"/>
        <charset val="238"/>
      </rPr>
      <t xml:space="preserve"> Discount value of securities and nominal value of securities  - for outright transactions,
    Purchase price of securities and repurchase price of securities - for repo transactions.</t>
    </r>
  </si>
  <si>
    <r>
      <t xml:space="preserve"> /</t>
    </r>
    <r>
      <rPr>
        <vertAlign val="superscript"/>
        <sz val="8"/>
        <rFont val="Arial"/>
        <family val="2"/>
        <charset val="238"/>
      </rPr>
      <t xml:space="preserve"> 4)</t>
    </r>
    <r>
      <rPr>
        <sz val="8"/>
        <rFont val="Arial"/>
        <family val="2"/>
        <charset val="238"/>
      </rPr>
      <t xml:space="preserve"> Interest rate on fixed rate auctions is presented as previosly specified  interest (repo) rate in Decision on auction,
    and that interest (repo) rate is also average weighted interest rate.</t>
    </r>
  </si>
  <si>
    <r>
      <t>/</t>
    </r>
    <r>
      <rPr>
        <vertAlign val="superscript"/>
        <sz val="8"/>
        <rFont val="Arial"/>
        <family val="2"/>
        <charset val="238"/>
      </rPr>
      <t xml:space="preserve"> 7) </t>
    </r>
    <r>
      <rPr>
        <sz val="8"/>
        <rFont val="Arial"/>
        <family val="2"/>
        <charset val="238"/>
      </rPr>
      <t>If National bank of Serbia organizes auctions without preannouncing nominal value of offered securities, there is no amount in column Volume of issue/offered for sale.</t>
    </r>
  </si>
  <si>
    <r>
      <t>8)</t>
    </r>
    <r>
      <rPr>
        <sz val="8"/>
        <rFont val="Arial"/>
        <family val="2"/>
        <charset val="238"/>
      </rPr>
      <t xml:space="preserve"> Realization ratio = volume of realization/volume of offered for sale if NBS announced offered amount.</t>
    </r>
  </si>
  <si>
    <t xml:space="preserve">   Realization ratio = volume of realization/offered amount by banks if offer is not announced by NBS. </t>
  </si>
  <si>
    <t>Vrsta HoV/
Type of securities</t>
  </si>
  <si>
    <t>var-viš/var-mult</t>
  </si>
  <si>
    <t xml:space="preserve">reverzna repo transakcija/                       reverse repo transaction </t>
  </si>
  <si>
    <t>trajna prodaja/outright sell</t>
  </si>
  <si>
    <t>fiksna/fix</t>
  </si>
  <si>
    <r>
      <rPr>
        <sz val="8"/>
        <rFont val="Arial"/>
        <family val="2"/>
        <charset val="238"/>
      </rPr>
      <t xml:space="preserve">    var.-viš. - aukcije po metodi varijabilne višestruke kamatne stope. / 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var.-mult. - variable multiple interest rate auctions.</t>
    </r>
  </si>
  <si>
    <r>
      <rPr>
        <vertAlign val="superscript"/>
        <sz val="8"/>
        <rFont val="Arial"/>
        <family val="2"/>
      </rPr>
      <t xml:space="preserve">1) </t>
    </r>
    <r>
      <rPr>
        <sz val="8"/>
        <rFont val="Arial"/>
        <family val="2"/>
      </rPr>
      <t>Reverzna repo transakcija - repo prodaja HoV / Reverse repo transaction - repo sale of securities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</si>
</sst>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4" formatCode="#,##0.0000"/>
    <numFmt numFmtId="195" formatCode="[$-81A]dd/\ mmm"/>
  </numFmts>
  <fonts count="14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u/>
      <sz val="10"/>
      <name val="Arial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charset val="1"/>
    </font>
    <font>
      <sz val="10"/>
      <color indexed="9"/>
      <name val="Arial"/>
      <charset val="238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top"/>
    </xf>
    <xf numFmtId="9" fontId="1" fillId="0" borderId="0" applyFont="0" applyFill="0" applyBorder="0" applyAlignment="0" applyProtection="0"/>
  </cellStyleXfs>
  <cellXfs count="103">
    <xf numFmtId="0" fontId="0" fillId="0" borderId="0" xfId="0" applyAlignment="1"/>
    <xf numFmtId="10" fontId="3" fillId="0" borderId="1" xfId="0" applyNumberFormat="1" applyFont="1" applyFill="1" applyBorder="1" applyAlignment="1"/>
    <xf numFmtId="4" fontId="3" fillId="0" borderId="1" xfId="0" applyNumberFormat="1" applyFont="1" applyFill="1" applyBorder="1" applyAlignment="1"/>
    <xf numFmtId="4" fontId="0" fillId="0" borderId="2" xfId="0" applyNumberFormat="1" applyFill="1" applyBorder="1" applyAlignment="1"/>
    <xf numFmtId="0" fontId="8" fillId="0" borderId="0" xfId="0" applyFont="1" applyFill="1" applyAlignment="1"/>
    <xf numFmtId="0" fontId="7" fillId="0" borderId="0" xfId="0" applyFont="1" applyFill="1" applyAlignment="1"/>
    <xf numFmtId="0" fontId="4" fillId="0" borderId="0" xfId="0" applyFont="1" applyFill="1" applyAlignment="1"/>
    <xf numFmtId="4" fontId="2" fillId="0" borderId="0" xfId="0" applyNumberFormat="1" applyFont="1" applyFill="1" applyBorder="1" applyAlignment="1"/>
    <xf numFmtId="4" fontId="0" fillId="0" borderId="3" xfId="0" applyNumberFormat="1" applyFill="1" applyBorder="1" applyAlignment="1"/>
    <xf numFmtId="4" fontId="9" fillId="0" borderId="2" xfId="0" applyNumberFormat="1" applyFont="1" applyFill="1" applyBorder="1">
      <alignment vertical="top"/>
    </xf>
    <xf numFmtId="4" fontId="3" fillId="0" borderId="0" xfId="0" applyNumberFormat="1" applyFont="1" applyFill="1" applyBorder="1" applyAlignment="1"/>
    <xf numFmtId="10" fontId="3" fillId="0" borderId="0" xfId="0" applyNumberFormat="1" applyFont="1" applyFill="1" applyBorder="1" applyAlignment="1"/>
    <xf numFmtId="4" fontId="9" fillId="0" borderId="3" xfId="0" applyNumberFormat="1" applyFont="1" applyFill="1" applyBorder="1">
      <alignment vertical="top"/>
    </xf>
    <xf numFmtId="0" fontId="10" fillId="0" borderId="0" xfId="0" applyFont="1" applyFill="1" applyAlignment="1"/>
    <xf numFmtId="4" fontId="9" fillId="0" borderId="4" xfId="0" applyNumberFormat="1" applyFont="1" applyFill="1" applyBorder="1">
      <alignment vertical="top"/>
    </xf>
    <xf numFmtId="4" fontId="9" fillId="0" borderId="5" xfId="0" applyNumberFormat="1" applyFont="1" applyFill="1" applyBorder="1">
      <alignment vertical="top"/>
    </xf>
    <xf numFmtId="4" fontId="9" fillId="0" borderId="6" xfId="0" applyNumberFormat="1" applyFont="1" applyFill="1" applyBorder="1">
      <alignment vertical="top"/>
    </xf>
    <xf numFmtId="4" fontId="9" fillId="0" borderId="3" xfId="0" applyNumberFormat="1" applyFont="1" applyFill="1" applyBorder="1" applyAlignment="1">
      <alignment vertical="top"/>
    </xf>
    <xf numFmtId="0" fontId="9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Alignment="1"/>
    <xf numFmtId="195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center" wrapText="1"/>
    </xf>
    <xf numFmtId="4" fontId="0" fillId="0" borderId="6" xfId="0" applyNumberFormat="1" applyFill="1" applyBorder="1" applyAlignment="1"/>
    <xf numFmtId="10" fontId="0" fillId="0" borderId="6" xfId="0" applyNumberFormat="1" applyFill="1" applyBorder="1" applyAlignment="1"/>
    <xf numFmtId="0" fontId="0" fillId="0" borderId="2" xfId="0" applyFill="1" applyBorder="1" applyAlignment="1">
      <alignment horizontal="center"/>
    </xf>
    <xf numFmtId="10" fontId="0" fillId="0" borderId="2" xfId="0" applyNumberFormat="1" applyFill="1" applyBorder="1" applyAlignment="1"/>
    <xf numFmtId="195" fontId="0" fillId="0" borderId="2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0" fontId="0" fillId="0" borderId="3" xfId="0" applyNumberFormat="1" applyFill="1" applyBorder="1" applyAlignment="1"/>
    <xf numFmtId="10" fontId="9" fillId="0" borderId="2" xfId="0" applyNumberFormat="1" applyFont="1" applyFill="1" applyBorder="1" applyAlignment="1">
      <alignment horizontal="center" vertical="top"/>
    </xf>
    <xf numFmtId="4" fontId="9" fillId="0" borderId="2" xfId="0" applyNumberFormat="1" applyFont="1" applyFill="1" applyBorder="1" applyAlignment="1">
      <alignment horizontal="center" vertical="top"/>
    </xf>
    <xf numFmtId="10" fontId="9" fillId="0" borderId="2" xfId="0" applyNumberFormat="1" applyFont="1" applyFill="1" applyBorder="1">
      <alignment vertical="top"/>
    </xf>
    <xf numFmtId="195" fontId="0" fillId="0" borderId="4" xfId="0" applyNumberFormat="1" applyFill="1" applyBorder="1" applyAlignment="1">
      <alignment horizontal="center"/>
    </xf>
    <xf numFmtId="10" fontId="9" fillId="0" borderId="3" xfId="0" applyNumberFormat="1" applyFont="1" applyFill="1" applyBorder="1">
      <alignment vertical="top"/>
    </xf>
    <xf numFmtId="195" fontId="0" fillId="0" borderId="3" xfId="0" applyNumberFormat="1" applyFill="1" applyBorder="1" applyAlignment="1">
      <alignment horizontal="center"/>
    </xf>
    <xf numFmtId="195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95" fontId="9" fillId="0" borderId="3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0" fontId="9" fillId="0" borderId="4" xfId="0" applyNumberFormat="1" applyFont="1" applyFill="1" applyBorder="1">
      <alignment vertical="top"/>
    </xf>
    <xf numFmtId="4" fontId="9" fillId="0" borderId="3" xfId="0" applyNumberFormat="1" applyFont="1" applyFill="1" applyBorder="1" applyAlignment="1">
      <alignment horizontal="center" vertical="top"/>
    </xf>
    <xf numFmtId="10" fontId="9" fillId="0" borderId="3" xfId="0" applyNumberFormat="1" applyFont="1" applyFill="1" applyBorder="1" applyAlignment="1">
      <alignment vertical="top"/>
    </xf>
    <xf numFmtId="4" fontId="9" fillId="0" borderId="3" xfId="0" applyNumberFormat="1" applyFont="1" applyFill="1" applyBorder="1" applyAlignment="1">
      <alignment horizontal="right" vertical="top"/>
    </xf>
    <xf numFmtId="195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4" fontId="9" fillId="0" borderId="5" xfId="0" applyNumberFormat="1" applyFont="1" applyFill="1" applyBorder="1" applyAlignment="1">
      <alignment horizontal="center" vertical="top"/>
    </xf>
    <xf numFmtId="10" fontId="9" fillId="0" borderId="5" xfId="0" applyNumberFormat="1" applyFont="1" applyFill="1" applyBorder="1">
      <alignment vertical="top"/>
    </xf>
    <xf numFmtId="4" fontId="9" fillId="0" borderId="4" xfId="0" applyNumberFormat="1" applyFont="1" applyFill="1" applyBorder="1" applyAlignment="1">
      <alignment horizontal="center" vertical="top"/>
    </xf>
    <xf numFmtId="0" fontId="0" fillId="0" borderId="1" xfId="0" applyFill="1" applyBorder="1" applyAlignment="1"/>
    <xf numFmtId="0" fontId="0" fillId="0" borderId="10" xfId="0" applyFill="1" applyBorder="1" applyAlignment="1"/>
    <xf numFmtId="0" fontId="0" fillId="0" borderId="11" xfId="0" applyFill="1" applyBorder="1" applyAlignment="1"/>
    <xf numFmtId="0" fontId="3" fillId="0" borderId="11" xfId="0" applyFont="1" applyFill="1" applyBorder="1" applyAlignment="1"/>
    <xf numFmtId="0" fontId="0" fillId="0" borderId="12" xfId="0" applyFill="1" applyBorder="1" applyAlignment="1"/>
    <xf numFmtId="4" fontId="0" fillId="0" borderId="0" xfId="0" applyNumberFormat="1" applyFill="1" applyAlignment="1"/>
    <xf numFmtId="0" fontId="9" fillId="0" borderId="4" xfId="0" applyFont="1" applyFill="1" applyBorder="1" applyAlignment="1">
      <alignment horizontal="center"/>
    </xf>
    <xf numFmtId="10" fontId="9" fillId="0" borderId="6" xfId="0" applyNumberFormat="1" applyFont="1" applyFill="1" applyBorder="1">
      <alignment vertical="top"/>
    </xf>
    <xf numFmtId="195" fontId="0" fillId="0" borderId="13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9" fillId="0" borderId="14" xfId="0" applyNumberFormat="1" applyFont="1" applyFill="1" applyBorder="1">
      <alignment vertical="top"/>
    </xf>
    <xf numFmtId="195" fontId="0" fillId="0" borderId="15" xfId="0" applyNumberForma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4" fontId="9" fillId="0" borderId="16" xfId="0" applyNumberFormat="1" applyFont="1" applyFill="1" applyBorder="1">
      <alignment vertical="top"/>
    </xf>
    <xf numFmtId="4" fontId="9" fillId="0" borderId="15" xfId="0" applyNumberFormat="1" applyFont="1" applyFill="1" applyBorder="1">
      <alignment vertical="top"/>
    </xf>
    <xf numFmtId="0" fontId="0" fillId="0" borderId="0" xfId="0" applyFill="1" applyBorder="1" applyAlignment="1"/>
    <xf numFmtId="0" fontId="3" fillId="0" borderId="0" xfId="0" applyFont="1" applyFill="1" applyBorder="1" applyAlignment="1"/>
    <xf numFmtId="0" fontId="6" fillId="0" borderId="0" xfId="0" applyFont="1" applyFill="1" applyAlignment="1"/>
    <xf numFmtId="4" fontId="7" fillId="0" borderId="0" xfId="0" applyNumberFormat="1" applyFont="1" applyFill="1" applyAlignment="1"/>
    <xf numFmtId="10" fontId="0" fillId="0" borderId="0" xfId="0" applyNumberFormat="1" applyFill="1" applyAlignment="1"/>
    <xf numFmtId="10" fontId="0" fillId="0" borderId="0" xfId="1" applyNumberFormat="1" applyFont="1" applyFill="1"/>
    <xf numFmtId="0" fontId="12" fillId="0" borderId="0" xfId="0" applyFont="1" applyFill="1" applyAlignment="1"/>
    <xf numFmtId="9" fontId="0" fillId="0" borderId="0" xfId="1" applyFont="1" applyFill="1"/>
    <xf numFmtId="194" fontId="0" fillId="0" borderId="0" xfId="0" applyNumberFormat="1" applyFill="1" applyAlignment="1"/>
    <xf numFmtId="0" fontId="8" fillId="0" borderId="0" xfId="0" applyFont="1" applyFill="1" applyAlignment="1">
      <alignment wrapText="1"/>
    </xf>
    <xf numFmtId="2" fontId="0" fillId="0" borderId="3" xfId="0" applyNumberForma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2" fontId="0" fillId="0" borderId="6" xfId="0" applyNumberForma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8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5"/>
  <sheetViews>
    <sheetView tabSelected="1" topLeftCell="J1" zoomScaleNormal="100" zoomScaleSheetLayoutView="100" workbookViewId="0">
      <pane ySplit="4" topLeftCell="A221" activePane="bottomLeft" state="frozen"/>
      <selection activeCell="D1" sqref="D1"/>
      <selection pane="bottomLeft" activeCell="S228" sqref="S228"/>
    </sheetView>
  </sheetViews>
  <sheetFormatPr defaultRowHeight="12.75" x14ac:dyDescent="0.2"/>
  <cols>
    <col min="1" max="1" width="8" style="30" customWidth="1"/>
    <col min="2" max="2" width="7" style="30" customWidth="1"/>
    <col min="3" max="3" width="14.85546875" style="30" customWidth="1"/>
    <col min="4" max="4" width="24.42578125" style="30" customWidth="1"/>
    <col min="5" max="5" width="12" style="30" customWidth="1"/>
    <col min="6" max="6" width="11.85546875" style="30" customWidth="1"/>
    <col min="7" max="7" width="11.140625" style="30" customWidth="1"/>
    <col min="8" max="8" width="11.7109375" style="30" customWidth="1"/>
    <col min="9" max="9" width="20.28515625" style="30" customWidth="1"/>
    <col min="10" max="10" width="9.85546875" style="30" customWidth="1"/>
    <col min="11" max="11" width="17.5703125" style="30" customWidth="1"/>
    <col min="12" max="12" width="19.85546875" style="30" customWidth="1"/>
    <col min="13" max="13" width="20.140625" style="30" bestFit="1" customWidth="1"/>
    <col min="14" max="14" width="10.85546875" style="30" customWidth="1"/>
    <col min="15" max="15" width="13.85546875" style="30" customWidth="1"/>
    <col min="16" max="16" width="13.7109375" style="30" customWidth="1"/>
    <col min="17" max="17" width="17.28515625" style="30" customWidth="1"/>
    <col min="18" max="18" width="17" style="30" customWidth="1"/>
    <col min="19" max="19" width="18.140625" style="30" customWidth="1"/>
    <col min="20" max="20" width="21.85546875" style="30" customWidth="1"/>
    <col min="21" max="16384" width="9.140625" style="30"/>
  </cols>
  <sheetData>
    <row r="1" spans="1:22" ht="33" customHeight="1" x14ac:dyDescent="0.25">
      <c r="A1" s="95" t="s">
        <v>11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22" ht="11.25" customHeight="1" x14ac:dyDescent="0.2">
      <c r="R2" s="18" t="s">
        <v>12</v>
      </c>
    </row>
    <row r="3" spans="1:22" ht="39.75" customHeight="1" x14ac:dyDescent="0.2">
      <c r="A3" s="96" t="s">
        <v>13</v>
      </c>
      <c r="B3" s="96" t="s">
        <v>14</v>
      </c>
      <c r="C3" s="96" t="s">
        <v>15</v>
      </c>
      <c r="D3" s="96" t="s">
        <v>16</v>
      </c>
      <c r="E3" s="96" t="s">
        <v>17</v>
      </c>
      <c r="F3" s="96" t="s">
        <v>19</v>
      </c>
      <c r="G3" s="96" t="s">
        <v>18</v>
      </c>
      <c r="H3" s="96" t="s">
        <v>39</v>
      </c>
      <c r="I3" s="96" t="s">
        <v>20</v>
      </c>
      <c r="J3" s="96" t="s">
        <v>21</v>
      </c>
      <c r="K3" s="96" t="s">
        <v>22</v>
      </c>
      <c r="L3" s="98" t="s">
        <v>23</v>
      </c>
      <c r="M3" s="99"/>
      <c r="N3" s="96" t="s">
        <v>26</v>
      </c>
      <c r="O3" s="96" t="s">
        <v>27</v>
      </c>
      <c r="P3" s="96" t="s">
        <v>28</v>
      </c>
      <c r="Q3" s="98" t="s">
        <v>29</v>
      </c>
      <c r="R3" s="99"/>
    </row>
    <row r="4" spans="1:22" ht="50.25" customHeight="1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19" t="s">
        <v>24</v>
      </c>
      <c r="M4" s="19" t="s">
        <v>25</v>
      </c>
      <c r="N4" s="97"/>
      <c r="O4" s="97"/>
      <c r="P4" s="97"/>
      <c r="Q4" s="19" t="s">
        <v>24</v>
      </c>
      <c r="R4" s="19" t="s">
        <v>25</v>
      </c>
    </row>
    <row r="5" spans="1:22" ht="26.25" customHeight="1" x14ac:dyDescent="0.2">
      <c r="A5" s="102">
        <v>2006</v>
      </c>
      <c r="B5" s="22">
        <v>1</v>
      </c>
      <c r="C5" s="20" t="s">
        <v>40</v>
      </c>
      <c r="D5" s="21" t="s">
        <v>41</v>
      </c>
      <c r="E5" s="31">
        <v>38721</v>
      </c>
      <c r="F5" s="31">
        <f t="shared" ref="F5:F13" si="0">+E5+G5</f>
        <v>38781</v>
      </c>
      <c r="G5" s="32">
        <v>60</v>
      </c>
      <c r="H5" s="33" t="s">
        <v>1</v>
      </c>
      <c r="I5" s="34">
        <v>1000000000</v>
      </c>
      <c r="J5" s="35">
        <v>1.55E-2</v>
      </c>
      <c r="K5" s="34">
        <f>+I5*(1+J5)</f>
        <v>1015500000.0000001</v>
      </c>
      <c r="L5" s="34">
        <v>741315000</v>
      </c>
      <c r="M5" s="34">
        <v>768042100</v>
      </c>
      <c r="N5" s="35">
        <f t="shared" ref="N5:N13" si="1">+L5/K5</f>
        <v>0.72999999999999987</v>
      </c>
      <c r="O5" s="35">
        <v>0.22</v>
      </c>
      <c r="P5" s="35">
        <v>0.21629999999999999</v>
      </c>
      <c r="Q5" s="34">
        <v>15046274500</v>
      </c>
      <c r="R5" s="34">
        <v>15322733161.109993</v>
      </c>
      <c r="S5" s="6"/>
      <c r="U5" s="66"/>
      <c r="V5" s="66"/>
    </row>
    <row r="6" spans="1:22" ht="26.25" customHeight="1" x14ac:dyDescent="0.2">
      <c r="A6" s="100"/>
      <c r="B6" s="23">
        <v>2</v>
      </c>
      <c r="C6" s="20" t="s">
        <v>40</v>
      </c>
      <c r="D6" s="21" t="s">
        <v>41</v>
      </c>
      <c r="E6" s="31">
        <v>38721</v>
      </c>
      <c r="F6" s="31">
        <f t="shared" si="0"/>
        <v>38735</v>
      </c>
      <c r="G6" s="36">
        <v>14</v>
      </c>
      <c r="H6" s="36" t="s">
        <v>0</v>
      </c>
      <c r="I6" s="3">
        <v>4000000000</v>
      </c>
      <c r="J6" s="37">
        <v>0</v>
      </c>
      <c r="K6" s="3">
        <v>4000000000</v>
      </c>
      <c r="L6" s="3">
        <v>1755000000</v>
      </c>
      <c r="M6" s="3">
        <v>1768627184</v>
      </c>
      <c r="N6" s="35">
        <f t="shared" si="1"/>
        <v>0.43874999999999997</v>
      </c>
      <c r="O6" s="37">
        <v>0.2</v>
      </c>
      <c r="P6" s="37">
        <v>0.19969999999999999</v>
      </c>
      <c r="Q6" s="3">
        <v>16801274500</v>
      </c>
      <c r="R6" s="3">
        <v>17091360345.109993</v>
      </c>
      <c r="S6" s="6"/>
      <c r="U6" s="66"/>
      <c r="V6" s="66"/>
    </row>
    <row r="7" spans="1:22" ht="26.25" customHeight="1" x14ac:dyDescent="0.2">
      <c r="A7" s="100"/>
      <c r="B7" s="23">
        <v>3</v>
      </c>
      <c r="C7" s="20" t="s">
        <v>40</v>
      </c>
      <c r="D7" s="21" t="s">
        <v>41</v>
      </c>
      <c r="E7" s="31">
        <v>38722</v>
      </c>
      <c r="F7" s="31">
        <f t="shared" si="0"/>
        <v>38737</v>
      </c>
      <c r="G7" s="36">
        <v>15</v>
      </c>
      <c r="H7" s="36" t="s">
        <v>0</v>
      </c>
      <c r="I7" s="3">
        <v>3000000000</v>
      </c>
      <c r="J7" s="37">
        <v>0</v>
      </c>
      <c r="K7" s="3">
        <v>3000000000</v>
      </c>
      <c r="L7" s="3">
        <v>3000000000</v>
      </c>
      <c r="M7" s="3">
        <v>3024974746.5</v>
      </c>
      <c r="N7" s="35">
        <f t="shared" si="1"/>
        <v>1</v>
      </c>
      <c r="O7" s="37">
        <v>0.2</v>
      </c>
      <c r="P7" s="37">
        <v>0.19980000000000001</v>
      </c>
      <c r="Q7" s="3">
        <v>19294934500</v>
      </c>
      <c r="R7" s="3">
        <v>19606065796.609993</v>
      </c>
      <c r="S7" s="6"/>
      <c r="U7" s="66"/>
      <c r="V7" s="66"/>
    </row>
    <row r="8" spans="1:22" ht="26.25" customHeight="1" x14ac:dyDescent="0.2">
      <c r="A8" s="100"/>
      <c r="B8" s="23">
        <v>4</v>
      </c>
      <c r="C8" s="20" t="s">
        <v>40</v>
      </c>
      <c r="D8" s="21" t="s">
        <v>41</v>
      </c>
      <c r="E8" s="31">
        <v>38723</v>
      </c>
      <c r="F8" s="31">
        <f t="shared" si="0"/>
        <v>38783</v>
      </c>
      <c r="G8" s="36">
        <v>60</v>
      </c>
      <c r="H8" s="36" t="s">
        <v>0</v>
      </c>
      <c r="I8" s="3">
        <v>1500000000</v>
      </c>
      <c r="J8" s="37">
        <v>0</v>
      </c>
      <c r="K8" s="3">
        <v>1500000000</v>
      </c>
      <c r="L8" s="3">
        <v>1460000000</v>
      </c>
      <c r="M8" s="3">
        <v>1512095676</v>
      </c>
      <c r="N8" s="35">
        <f t="shared" si="1"/>
        <v>0.97333333333333338</v>
      </c>
      <c r="O8" s="37">
        <v>0.22</v>
      </c>
      <c r="P8" s="37">
        <v>0.21410000000000001</v>
      </c>
      <c r="Q8" s="3">
        <v>18927934500</v>
      </c>
      <c r="R8" s="3">
        <v>19277005982.609993</v>
      </c>
      <c r="S8" s="6"/>
      <c r="U8" s="66"/>
      <c r="V8" s="66"/>
    </row>
    <row r="9" spans="1:22" ht="26.25" customHeight="1" x14ac:dyDescent="0.2">
      <c r="A9" s="100"/>
      <c r="B9" s="23">
        <v>5</v>
      </c>
      <c r="C9" s="20" t="s">
        <v>40</v>
      </c>
      <c r="D9" s="21" t="s">
        <v>41</v>
      </c>
      <c r="E9" s="31">
        <v>38723</v>
      </c>
      <c r="F9" s="31">
        <f t="shared" si="0"/>
        <v>38737</v>
      </c>
      <c r="G9" s="36">
        <v>14</v>
      </c>
      <c r="H9" s="36" t="s">
        <v>1</v>
      </c>
      <c r="I9" s="3">
        <v>4500000000</v>
      </c>
      <c r="J9" s="37">
        <v>5.0000000000000001E-3</v>
      </c>
      <c r="K9" s="3">
        <f>+I9*(1+J9)</f>
        <v>4522499999.999999</v>
      </c>
      <c r="L9" s="3">
        <v>2314263750</v>
      </c>
      <c r="M9" s="3">
        <v>2332227578.9499998</v>
      </c>
      <c r="N9" s="35">
        <f t="shared" si="1"/>
        <v>0.5117222222222223</v>
      </c>
      <c r="O9" s="37">
        <v>0.2</v>
      </c>
      <c r="P9" s="37">
        <v>0.1996</v>
      </c>
      <c r="Q9" s="3">
        <v>21242198250</v>
      </c>
      <c r="R9" s="3">
        <v>21609233561.559994</v>
      </c>
      <c r="S9" s="6"/>
      <c r="U9" s="66"/>
      <c r="V9" s="66"/>
    </row>
    <row r="10" spans="1:22" ht="26.25" customHeight="1" x14ac:dyDescent="0.2">
      <c r="A10" s="100"/>
      <c r="B10" s="24">
        <v>6</v>
      </c>
      <c r="C10" s="20" t="s">
        <v>40</v>
      </c>
      <c r="D10" s="21" t="s">
        <v>41</v>
      </c>
      <c r="E10" s="38">
        <v>38726</v>
      </c>
      <c r="F10" s="38">
        <f t="shared" si="0"/>
        <v>38740</v>
      </c>
      <c r="G10" s="39">
        <v>14</v>
      </c>
      <c r="H10" s="39" t="s">
        <v>1</v>
      </c>
      <c r="I10" s="8">
        <v>3000000000</v>
      </c>
      <c r="J10" s="40">
        <v>5.4999999999999997E-3</v>
      </c>
      <c r="K10" s="8">
        <v>3016500000</v>
      </c>
      <c r="L10" s="8">
        <v>1194031250</v>
      </c>
      <c r="M10" s="8">
        <v>1203295542.5</v>
      </c>
      <c r="N10" s="40">
        <f t="shared" si="1"/>
        <v>0.39583333333333331</v>
      </c>
      <c r="O10" s="40">
        <v>0.2</v>
      </c>
      <c r="P10" s="40">
        <v>0.19950000000000001</v>
      </c>
      <c r="Q10" s="8">
        <v>21559474500</v>
      </c>
      <c r="R10" s="8">
        <v>21928994721.059994</v>
      </c>
      <c r="S10" s="6"/>
      <c r="U10" s="66"/>
      <c r="V10" s="66"/>
    </row>
    <row r="11" spans="1:22" ht="26.25" customHeight="1" x14ac:dyDescent="0.2">
      <c r="A11" s="100"/>
      <c r="B11" s="24">
        <v>7</v>
      </c>
      <c r="C11" s="20" t="s">
        <v>40</v>
      </c>
      <c r="D11" s="21" t="s">
        <v>41</v>
      </c>
      <c r="E11" s="38">
        <v>38727</v>
      </c>
      <c r="F11" s="38">
        <f t="shared" si="0"/>
        <v>38742</v>
      </c>
      <c r="G11" s="39">
        <v>15</v>
      </c>
      <c r="H11" s="39" t="s">
        <v>1</v>
      </c>
      <c r="I11" s="8">
        <v>4000000000</v>
      </c>
      <c r="J11" s="40">
        <v>6.0000000000000001E-3</v>
      </c>
      <c r="K11" s="8">
        <v>4024000000</v>
      </c>
      <c r="L11" s="8">
        <v>1911400000</v>
      </c>
      <c r="M11" s="8">
        <v>1927321960</v>
      </c>
      <c r="N11" s="40">
        <f t="shared" si="1"/>
        <v>0.47499999999999998</v>
      </c>
      <c r="O11" s="40">
        <v>0.2</v>
      </c>
      <c r="P11" s="40">
        <v>0.19989999999999999</v>
      </c>
      <c r="Q11" s="8">
        <v>19936684500</v>
      </c>
      <c r="R11" s="8">
        <v>20299783865.059994</v>
      </c>
      <c r="S11" s="6"/>
      <c r="U11" s="66"/>
      <c r="V11" s="66"/>
    </row>
    <row r="12" spans="1:22" ht="26.25" customHeight="1" x14ac:dyDescent="0.2">
      <c r="A12" s="100"/>
      <c r="B12" s="23">
        <v>8</v>
      </c>
      <c r="C12" s="20" t="s">
        <v>40</v>
      </c>
      <c r="D12" s="21" t="s">
        <v>41</v>
      </c>
      <c r="E12" s="38">
        <v>38728</v>
      </c>
      <c r="F12" s="38">
        <f t="shared" si="0"/>
        <v>38788</v>
      </c>
      <c r="G12" s="36">
        <v>60</v>
      </c>
      <c r="H12" s="36" t="s">
        <v>0</v>
      </c>
      <c r="I12" s="3">
        <v>1000000000</v>
      </c>
      <c r="J12" s="37">
        <v>0</v>
      </c>
      <c r="K12" s="3">
        <v>1000000000</v>
      </c>
      <c r="L12" s="3">
        <v>355000000</v>
      </c>
      <c r="M12" s="3">
        <v>367833329.5</v>
      </c>
      <c r="N12" s="37">
        <f t="shared" si="1"/>
        <v>0.35499999999999998</v>
      </c>
      <c r="O12" s="37">
        <v>0.22</v>
      </c>
      <c r="P12" s="37">
        <v>0.21690000000000001</v>
      </c>
      <c r="Q12" s="3">
        <v>18275960500</v>
      </c>
      <c r="R12" s="3">
        <v>18624241166.559994</v>
      </c>
      <c r="S12" s="6"/>
      <c r="U12" s="66"/>
      <c r="V12" s="66"/>
    </row>
    <row r="13" spans="1:22" ht="26.25" customHeight="1" x14ac:dyDescent="0.2">
      <c r="A13" s="100"/>
      <c r="B13" s="24">
        <v>9</v>
      </c>
      <c r="C13" s="20" t="s">
        <v>40</v>
      </c>
      <c r="D13" s="21" t="s">
        <v>41</v>
      </c>
      <c r="E13" s="38">
        <v>38728</v>
      </c>
      <c r="F13" s="38">
        <f t="shared" si="0"/>
        <v>38742</v>
      </c>
      <c r="G13" s="39">
        <v>14</v>
      </c>
      <c r="H13" s="39" t="s">
        <v>1</v>
      </c>
      <c r="I13" s="8">
        <v>3000000000</v>
      </c>
      <c r="J13" s="40">
        <v>6.0000000000000001E-3</v>
      </c>
      <c r="K13" s="8">
        <v>3018000000</v>
      </c>
      <c r="L13" s="8">
        <v>533180000</v>
      </c>
      <c r="M13" s="8">
        <v>537326110</v>
      </c>
      <c r="N13" s="40">
        <f t="shared" si="1"/>
        <v>0.17666666666666667</v>
      </c>
      <c r="O13" s="40">
        <v>0.2</v>
      </c>
      <c r="P13" s="40">
        <v>0.2</v>
      </c>
      <c r="Q13" s="8">
        <v>18809140500</v>
      </c>
      <c r="R13" s="8">
        <v>19161567276.559994</v>
      </c>
      <c r="S13" s="6"/>
      <c r="U13" s="66"/>
      <c r="V13" s="66"/>
    </row>
    <row r="14" spans="1:22" ht="26.25" customHeight="1" x14ac:dyDescent="0.2">
      <c r="A14" s="100"/>
      <c r="B14" s="23">
        <v>10</v>
      </c>
      <c r="C14" s="20" t="s">
        <v>40</v>
      </c>
      <c r="D14" s="21" t="s">
        <v>42</v>
      </c>
      <c r="E14" s="38">
        <v>38730</v>
      </c>
      <c r="F14" s="38" t="s">
        <v>8</v>
      </c>
      <c r="G14" s="36" t="s">
        <v>8</v>
      </c>
      <c r="H14" s="36" t="s">
        <v>1</v>
      </c>
      <c r="I14" s="9">
        <v>500000000</v>
      </c>
      <c r="J14" s="41" t="s">
        <v>8</v>
      </c>
      <c r="K14" s="42" t="s">
        <v>8</v>
      </c>
      <c r="L14" s="9">
        <v>469374500</v>
      </c>
      <c r="M14" s="9">
        <v>500000000</v>
      </c>
      <c r="N14" s="43">
        <v>1</v>
      </c>
      <c r="O14" s="43">
        <v>0.159</v>
      </c>
      <c r="P14" s="43">
        <v>0.159</v>
      </c>
      <c r="Q14" s="9">
        <v>18809140500</v>
      </c>
      <c r="R14" s="9">
        <v>19161567276.559994</v>
      </c>
      <c r="S14" s="6"/>
      <c r="U14" s="66"/>
      <c r="V14" s="66"/>
    </row>
    <row r="15" spans="1:22" ht="26.25" customHeight="1" x14ac:dyDescent="0.2">
      <c r="A15" s="100"/>
      <c r="B15" s="24">
        <v>11</v>
      </c>
      <c r="C15" s="20" t="s">
        <v>40</v>
      </c>
      <c r="D15" s="21" t="s">
        <v>41</v>
      </c>
      <c r="E15" s="38">
        <v>38730</v>
      </c>
      <c r="F15" s="38">
        <v>38790</v>
      </c>
      <c r="G15" s="39">
        <v>60</v>
      </c>
      <c r="H15" s="39" t="s">
        <v>1</v>
      </c>
      <c r="I15" s="9">
        <v>1000000000</v>
      </c>
      <c r="J15" s="43">
        <v>1.7500000000000002E-2</v>
      </c>
      <c r="K15" s="9">
        <v>1017500000</v>
      </c>
      <c r="L15" s="9">
        <v>493487500</v>
      </c>
      <c r="M15" s="9">
        <v>511238143</v>
      </c>
      <c r="N15" s="43">
        <f>+L15/K15</f>
        <v>0.48499999999999999</v>
      </c>
      <c r="O15" s="43">
        <v>0.22</v>
      </c>
      <c r="P15" s="43">
        <v>0.21579999999999999</v>
      </c>
      <c r="Q15" s="9">
        <v>19302628000</v>
      </c>
      <c r="R15" s="9">
        <v>19672805419.559994</v>
      </c>
      <c r="S15" s="6"/>
      <c r="U15" s="66"/>
      <c r="V15" s="66"/>
    </row>
    <row r="16" spans="1:22" ht="26.25" customHeight="1" x14ac:dyDescent="0.2">
      <c r="A16" s="100"/>
      <c r="B16" s="24">
        <v>12</v>
      </c>
      <c r="C16" s="20" t="s">
        <v>40</v>
      </c>
      <c r="D16" s="21" t="s">
        <v>41</v>
      </c>
      <c r="E16" s="44">
        <v>38730</v>
      </c>
      <c r="F16" s="44">
        <v>38744</v>
      </c>
      <c r="G16" s="39">
        <v>14</v>
      </c>
      <c r="H16" s="39" t="s">
        <v>1</v>
      </c>
      <c r="I16" s="12">
        <v>2000000000</v>
      </c>
      <c r="J16" s="45">
        <v>6.4999999999999997E-3</v>
      </c>
      <c r="K16" s="12">
        <v>2013000000</v>
      </c>
      <c r="L16" s="12">
        <v>422428050</v>
      </c>
      <c r="M16" s="12">
        <v>425711923.69999999</v>
      </c>
      <c r="N16" s="45">
        <f>+L16/K16</f>
        <v>0.20985000000000001</v>
      </c>
      <c r="O16" s="45">
        <v>0.2</v>
      </c>
      <c r="P16" s="45">
        <v>0.19989999999999999</v>
      </c>
      <c r="Q16" s="12">
        <v>19725056050</v>
      </c>
      <c r="R16" s="12">
        <v>20098517343.259995</v>
      </c>
      <c r="S16" s="6"/>
      <c r="U16" s="66"/>
      <c r="V16" s="66"/>
    </row>
    <row r="17" spans="1:22" ht="26.25" customHeight="1" x14ac:dyDescent="0.2">
      <c r="A17" s="100"/>
      <c r="B17" s="24">
        <v>13</v>
      </c>
      <c r="C17" s="20" t="s">
        <v>40</v>
      </c>
      <c r="D17" s="21" t="s">
        <v>41</v>
      </c>
      <c r="E17" s="46">
        <v>38735</v>
      </c>
      <c r="F17" s="46">
        <v>38749</v>
      </c>
      <c r="G17" s="39">
        <v>14</v>
      </c>
      <c r="H17" s="39" t="s">
        <v>1</v>
      </c>
      <c r="I17" s="12">
        <v>2000000000</v>
      </c>
      <c r="J17" s="45">
        <v>8.0000000000000002E-3</v>
      </c>
      <c r="K17" s="12">
        <v>2016000000</v>
      </c>
      <c r="L17" s="12">
        <v>2016000000</v>
      </c>
      <c r="M17" s="12">
        <v>2031637590</v>
      </c>
      <c r="N17" s="45">
        <v>1</v>
      </c>
      <c r="O17" s="45">
        <v>0.2</v>
      </c>
      <c r="P17" s="45">
        <v>0.19950000000000001</v>
      </c>
      <c r="Q17" s="12">
        <v>18720233050</v>
      </c>
      <c r="R17" s="12">
        <v>19057253691.259995</v>
      </c>
      <c r="S17" s="6"/>
      <c r="U17" s="66"/>
      <c r="V17" s="66"/>
    </row>
    <row r="18" spans="1:22" ht="26.25" customHeight="1" x14ac:dyDescent="0.2">
      <c r="A18" s="100"/>
      <c r="B18" s="23">
        <v>14</v>
      </c>
      <c r="C18" s="20" t="s">
        <v>40</v>
      </c>
      <c r="D18" s="21" t="s">
        <v>41</v>
      </c>
      <c r="E18" s="38">
        <v>38737</v>
      </c>
      <c r="F18" s="38">
        <v>38797</v>
      </c>
      <c r="G18" s="36">
        <v>60</v>
      </c>
      <c r="H18" s="36" t="s">
        <v>1</v>
      </c>
      <c r="I18" s="9">
        <v>1500000000</v>
      </c>
      <c r="J18" s="43">
        <v>1.9E-2</v>
      </c>
      <c r="K18" s="9">
        <v>1528499999.9999998</v>
      </c>
      <c r="L18" s="9">
        <v>1310434000</v>
      </c>
      <c r="M18" s="9">
        <v>1358110464</v>
      </c>
      <c r="N18" s="43">
        <v>0.8573333333333335</v>
      </c>
      <c r="O18" s="43">
        <v>0.22950000000000001</v>
      </c>
      <c r="P18" s="43">
        <v>0.21829999999999999</v>
      </c>
      <c r="Q18" s="9">
        <v>14716403300</v>
      </c>
      <c r="R18" s="9">
        <v>15058161829.809994</v>
      </c>
      <c r="S18" s="6"/>
      <c r="U18" s="66"/>
      <c r="V18" s="66"/>
    </row>
    <row r="19" spans="1:22" ht="26.25" customHeight="1" x14ac:dyDescent="0.2">
      <c r="A19" s="100"/>
      <c r="B19" s="24">
        <v>15</v>
      </c>
      <c r="C19" s="20" t="s">
        <v>40</v>
      </c>
      <c r="D19" s="21" t="s">
        <v>41</v>
      </c>
      <c r="E19" s="46">
        <v>38737</v>
      </c>
      <c r="F19" s="46">
        <v>38751</v>
      </c>
      <c r="G19" s="39">
        <v>14</v>
      </c>
      <c r="H19" s="39" t="s">
        <v>0</v>
      </c>
      <c r="I19" s="12">
        <v>4000000000</v>
      </c>
      <c r="J19" s="45">
        <v>0</v>
      </c>
      <c r="K19" s="12">
        <v>4000000000</v>
      </c>
      <c r="L19" s="12">
        <v>3433000000</v>
      </c>
      <c r="M19" s="12">
        <v>3459584133</v>
      </c>
      <c r="N19" s="45">
        <v>0.85824999999999996</v>
      </c>
      <c r="O19" s="45">
        <v>0.2</v>
      </c>
      <c r="P19" s="45">
        <v>0.1991</v>
      </c>
      <c r="Q19" s="12">
        <v>18149403300</v>
      </c>
      <c r="R19" s="12">
        <v>18517745962.809994</v>
      </c>
      <c r="S19" s="6"/>
      <c r="U19" s="66"/>
      <c r="V19" s="66"/>
    </row>
    <row r="20" spans="1:22" ht="26.25" customHeight="1" x14ac:dyDescent="0.2">
      <c r="A20" s="100"/>
      <c r="B20" s="24">
        <v>16</v>
      </c>
      <c r="C20" s="20" t="s">
        <v>40</v>
      </c>
      <c r="D20" s="21" t="s">
        <v>41</v>
      </c>
      <c r="E20" s="46">
        <v>38740</v>
      </c>
      <c r="F20" s="46">
        <v>38756</v>
      </c>
      <c r="G20" s="39">
        <v>16</v>
      </c>
      <c r="H20" s="39" t="s">
        <v>1</v>
      </c>
      <c r="I20" s="12">
        <v>2000000000</v>
      </c>
      <c r="J20" s="45">
        <v>9.4999999999999998E-3</v>
      </c>
      <c r="K20" s="12">
        <v>2019000000.0000002</v>
      </c>
      <c r="L20" s="12">
        <v>817695000</v>
      </c>
      <c r="M20" s="12">
        <v>824942905</v>
      </c>
      <c r="N20" s="45">
        <v>0.40500000000000003</v>
      </c>
      <c r="O20" s="45">
        <v>0.2</v>
      </c>
      <c r="P20" s="45">
        <v>0.19939999999999999</v>
      </c>
      <c r="Q20" s="12">
        <v>16865237050</v>
      </c>
      <c r="R20" s="12">
        <v>17203495854.559994</v>
      </c>
      <c r="S20" s="6"/>
      <c r="U20" s="66"/>
      <c r="V20" s="66"/>
    </row>
    <row r="21" spans="1:22" ht="26.25" customHeight="1" x14ac:dyDescent="0.2">
      <c r="A21" s="100"/>
      <c r="B21" s="23">
        <v>17</v>
      </c>
      <c r="C21" s="20" t="s">
        <v>40</v>
      </c>
      <c r="D21" s="21" t="s">
        <v>41</v>
      </c>
      <c r="E21" s="38">
        <v>38742</v>
      </c>
      <c r="F21" s="38">
        <f>+E21+G21</f>
        <v>38802</v>
      </c>
      <c r="G21" s="36">
        <v>60</v>
      </c>
      <c r="H21" s="36" t="s">
        <v>1</v>
      </c>
      <c r="I21" s="9">
        <v>2000000000</v>
      </c>
      <c r="J21" s="43">
        <v>2.0500000000000001E-2</v>
      </c>
      <c r="K21" s="9">
        <v>2041000000</v>
      </c>
      <c r="L21" s="9">
        <v>1683825000</v>
      </c>
      <c r="M21" s="9">
        <v>1746459868</v>
      </c>
      <c r="N21" s="43">
        <f>+L21/K21</f>
        <v>0.82499999999999996</v>
      </c>
      <c r="O21" s="43">
        <v>0.2296</v>
      </c>
      <c r="P21" s="43">
        <v>0.22320000000000001</v>
      </c>
      <c r="Q21" s="9">
        <v>14685282050</v>
      </c>
      <c r="R21" s="9">
        <v>15021315362.199993</v>
      </c>
      <c r="S21" s="6"/>
      <c r="U21" s="66"/>
      <c r="V21" s="66"/>
    </row>
    <row r="22" spans="1:22" ht="26.25" customHeight="1" x14ac:dyDescent="0.2">
      <c r="A22" s="100"/>
      <c r="B22" s="24">
        <v>18</v>
      </c>
      <c r="C22" s="20" t="s">
        <v>40</v>
      </c>
      <c r="D22" s="21" t="s">
        <v>41</v>
      </c>
      <c r="E22" s="46">
        <v>38742</v>
      </c>
      <c r="F22" s="46">
        <f>+E22+G22</f>
        <v>38756</v>
      </c>
      <c r="G22" s="39">
        <v>14</v>
      </c>
      <c r="H22" s="39" t="s">
        <v>0</v>
      </c>
      <c r="I22" s="12">
        <v>4000000000</v>
      </c>
      <c r="J22" s="45">
        <v>0</v>
      </c>
      <c r="K22" s="12">
        <v>4000000000</v>
      </c>
      <c r="L22" s="12">
        <v>3330000000</v>
      </c>
      <c r="M22" s="12">
        <v>3355884557</v>
      </c>
      <c r="N22" s="45">
        <v>0.83250000000000002</v>
      </c>
      <c r="O22" s="45">
        <v>0.2</v>
      </c>
      <c r="P22" s="45">
        <v>0.19989999999999999</v>
      </c>
      <c r="Q22" s="12">
        <v>18015282050</v>
      </c>
      <c r="R22" s="12">
        <v>18377199919.199993</v>
      </c>
      <c r="S22" s="6"/>
      <c r="U22" s="66"/>
      <c r="V22" s="66"/>
    </row>
    <row r="23" spans="1:22" ht="26.25" customHeight="1" x14ac:dyDescent="0.2">
      <c r="A23" s="100"/>
      <c r="B23" s="24">
        <v>19</v>
      </c>
      <c r="C23" s="20" t="s">
        <v>40</v>
      </c>
      <c r="D23" s="21" t="s">
        <v>41</v>
      </c>
      <c r="E23" s="46">
        <v>38743</v>
      </c>
      <c r="F23" s="46">
        <v>38758</v>
      </c>
      <c r="G23" s="39">
        <v>15</v>
      </c>
      <c r="H23" s="39" t="s">
        <v>1</v>
      </c>
      <c r="I23" s="12">
        <v>3000000000</v>
      </c>
      <c r="J23" s="45">
        <v>0.01</v>
      </c>
      <c r="K23" s="12">
        <v>3030000000</v>
      </c>
      <c r="L23" s="12">
        <v>1646300000</v>
      </c>
      <c r="M23" s="12">
        <v>1660018460</v>
      </c>
      <c r="N23" s="45">
        <v>0.54333333333333333</v>
      </c>
      <c r="O23" s="45">
        <v>0.2</v>
      </c>
      <c r="P23" s="45">
        <v>0.2</v>
      </c>
      <c r="Q23" s="12">
        <v>19661582050</v>
      </c>
      <c r="R23" s="12">
        <v>20037218379.199993</v>
      </c>
      <c r="S23" s="6"/>
      <c r="U23" s="66"/>
      <c r="V23" s="66"/>
    </row>
    <row r="24" spans="1:22" ht="26.25" customHeight="1" x14ac:dyDescent="0.2">
      <c r="A24" s="100"/>
      <c r="B24" s="24">
        <v>20</v>
      </c>
      <c r="C24" s="20" t="s">
        <v>40</v>
      </c>
      <c r="D24" s="21" t="s">
        <v>42</v>
      </c>
      <c r="E24" s="38">
        <v>38744</v>
      </c>
      <c r="F24" s="38" t="s">
        <v>8</v>
      </c>
      <c r="G24" s="36" t="s">
        <v>8</v>
      </c>
      <c r="H24" s="36" t="s">
        <v>1</v>
      </c>
      <c r="I24" s="9">
        <v>185000000</v>
      </c>
      <c r="J24" s="41" t="s">
        <v>8</v>
      </c>
      <c r="K24" s="42" t="s">
        <v>8</v>
      </c>
      <c r="L24" s="9">
        <v>174704935</v>
      </c>
      <c r="M24" s="9">
        <v>185000000</v>
      </c>
      <c r="N24" s="43">
        <v>1</v>
      </c>
      <c r="O24" s="43">
        <v>0.159</v>
      </c>
      <c r="P24" s="43">
        <v>0.159</v>
      </c>
      <c r="Q24" s="9">
        <v>19661582050</v>
      </c>
      <c r="R24" s="9">
        <v>20037218379.199993</v>
      </c>
      <c r="S24" s="6"/>
      <c r="U24" s="66"/>
      <c r="V24" s="66"/>
    </row>
    <row r="25" spans="1:22" ht="26.25" customHeight="1" x14ac:dyDescent="0.2">
      <c r="A25" s="100"/>
      <c r="B25" s="24">
        <v>21</v>
      </c>
      <c r="C25" s="20" t="s">
        <v>40</v>
      </c>
      <c r="D25" s="21" t="s">
        <v>41</v>
      </c>
      <c r="E25" s="46">
        <v>38744</v>
      </c>
      <c r="F25" s="46">
        <v>38804</v>
      </c>
      <c r="G25" s="39">
        <v>60</v>
      </c>
      <c r="H25" s="39" t="s">
        <v>1</v>
      </c>
      <c r="I25" s="12">
        <v>1500000000</v>
      </c>
      <c r="J25" s="45">
        <v>2.1000000000000001E-2</v>
      </c>
      <c r="K25" s="12">
        <v>1531499999.9999998</v>
      </c>
      <c r="L25" s="12">
        <v>1200481590</v>
      </c>
      <c r="M25" s="12">
        <v>1245864599.05</v>
      </c>
      <c r="N25" s="45">
        <v>0.78386000000000011</v>
      </c>
      <c r="O25" s="45">
        <v>0.23</v>
      </c>
      <c r="P25" s="45">
        <v>0.2268</v>
      </c>
      <c r="Q25" s="12">
        <v>20439635590</v>
      </c>
      <c r="R25" s="12">
        <v>20857371054.549992</v>
      </c>
      <c r="S25" s="6"/>
      <c r="U25" s="66"/>
      <c r="V25" s="66"/>
    </row>
    <row r="26" spans="1:22" ht="26.25" customHeight="1" x14ac:dyDescent="0.2">
      <c r="A26" s="100"/>
      <c r="B26" s="24">
        <v>22</v>
      </c>
      <c r="C26" s="20" t="s">
        <v>40</v>
      </c>
      <c r="D26" s="21" t="s">
        <v>41</v>
      </c>
      <c r="E26" s="46">
        <v>38744</v>
      </c>
      <c r="F26" s="46">
        <v>38758</v>
      </c>
      <c r="G26" s="39">
        <v>14</v>
      </c>
      <c r="H26" s="39" t="s">
        <v>1</v>
      </c>
      <c r="I26" s="12">
        <v>3000000000</v>
      </c>
      <c r="J26" s="45">
        <v>0.01</v>
      </c>
      <c r="K26" s="12">
        <v>3030000000</v>
      </c>
      <c r="L26" s="12">
        <v>575700000</v>
      </c>
      <c r="M26" s="12">
        <v>580176840</v>
      </c>
      <c r="N26" s="45">
        <v>0.19</v>
      </c>
      <c r="O26" s="45">
        <v>0.2</v>
      </c>
      <c r="P26" s="45">
        <v>0.2</v>
      </c>
      <c r="Q26" s="12">
        <v>21015335590</v>
      </c>
      <c r="R26" s="12">
        <v>21437547894.549992</v>
      </c>
      <c r="S26" s="6"/>
      <c r="U26" s="66"/>
      <c r="V26" s="66"/>
    </row>
    <row r="27" spans="1:22" ht="26.25" customHeight="1" x14ac:dyDescent="0.2">
      <c r="A27" s="100"/>
      <c r="B27" s="24">
        <v>23</v>
      </c>
      <c r="C27" s="20" t="s">
        <v>40</v>
      </c>
      <c r="D27" s="21" t="s">
        <v>41</v>
      </c>
      <c r="E27" s="46">
        <v>38747</v>
      </c>
      <c r="F27" s="46">
        <v>38761</v>
      </c>
      <c r="G27" s="39">
        <v>14</v>
      </c>
      <c r="H27" s="39" t="s">
        <v>1</v>
      </c>
      <c r="I27" s="12">
        <v>2000000000</v>
      </c>
      <c r="J27" s="45">
        <v>1.0500000000000001E-2</v>
      </c>
      <c r="K27" s="12">
        <v>2021000000</v>
      </c>
      <c r="L27" s="12">
        <v>479987500</v>
      </c>
      <c r="M27" s="12">
        <v>483719650</v>
      </c>
      <c r="N27" s="45">
        <v>0.23749999999999999</v>
      </c>
      <c r="O27" s="45">
        <v>0.2</v>
      </c>
      <c r="P27" s="45">
        <v>0.19989999999999999</v>
      </c>
      <c r="Q27" s="12">
        <v>21495323090</v>
      </c>
      <c r="R27" s="12">
        <v>21921267544.549992</v>
      </c>
      <c r="S27" s="6"/>
      <c r="U27" s="66"/>
      <c r="V27" s="66"/>
    </row>
    <row r="28" spans="1:22" ht="26.25" customHeight="1" x14ac:dyDescent="0.2">
      <c r="A28" s="100"/>
      <c r="B28" s="23">
        <v>24</v>
      </c>
      <c r="C28" s="20" t="s">
        <v>40</v>
      </c>
      <c r="D28" s="21" t="s">
        <v>41</v>
      </c>
      <c r="E28" s="38">
        <v>38749</v>
      </c>
      <c r="F28" s="38">
        <f>+E28+G28</f>
        <v>38809</v>
      </c>
      <c r="G28" s="36">
        <v>60</v>
      </c>
      <c r="H28" s="36" t="s">
        <v>0</v>
      </c>
      <c r="I28" s="9">
        <v>1000000000</v>
      </c>
      <c r="J28" s="43">
        <v>0</v>
      </c>
      <c r="K28" s="9">
        <v>1000000000</v>
      </c>
      <c r="L28" s="9">
        <v>1000000000</v>
      </c>
      <c r="M28" s="9">
        <v>1037309355.3</v>
      </c>
      <c r="N28" s="43">
        <v>1</v>
      </c>
      <c r="O28" s="43">
        <v>0.22500000000000001</v>
      </c>
      <c r="P28" s="43">
        <v>0.22389999999999999</v>
      </c>
      <c r="Q28" s="9">
        <f>+Q27+L28-L17-1050000000</f>
        <v>19429323090</v>
      </c>
      <c r="R28" s="9">
        <f>+R27+M28-M17-1083191335</f>
        <v>19843747974.849991</v>
      </c>
      <c r="S28" s="6"/>
      <c r="U28" s="66"/>
      <c r="V28" s="66"/>
    </row>
    <row r="29" spans="1:22" ht="26.25" customHeight="1" x14ac:dyDescent="0.2">
      <c r="A29" s="100"/>
      <c r="B29" s="24">
        <v>25</v>
      </c>
      <c r="C29" s="20" t="s">
        <v>40</v>
      </c>
      <c r="D29" s="21" t="s">
        <v>41</v>
      </c>
      <c r="E29" s="46">
        <v>38749</v>
      </c>
      <c r="F29" s="46">
        <f>+E29+G29</f>
        <v>38765</v>
      </c>
      <c r="G29" s="39">
        <v>16</v>
      </c>
      <c r="H29" s="39" t="s">
        <v>1</v>
      </c>
      <c r="I29" s="12">
        <v>2000000000</v>
      </c>
      <c r="J29" s="45">
        <v>1.15E-2</v>
      </c>
      <c r="K29" s="12">
        <v>2023000000</v>
      </c>
      <c r="L29" s="12">
        <v>1051960000</v>
      </c>
      <c r="M29" s="12">
        <v>1061284610</v>
      </c>
      <c r="N29" s="45">
        <f>+L29/K29</f>
        <v>0.52</v>
      </c>
      <c r="O29" s="45">
        <v>0.2</v>
      </c>
      <c r="P29" s="45">
        <v>0.19939999999999999</v>
      </c>
      <c r="Q29" s="12">
        <f>+Q28+L29</f>
        <v>20481283090</v>
      </c>
      <c r="R29" s="12">
        <f>+R28+M29</f>
        <v>20905032584.849991</v>
      </c>
      <c r="S29" s="6"/>
      <c r="U29" s="66"/>
      <c r="V29" s="66"/>
    </row>
    <row r="30" spans="1:22" ht="26.25" customHeight="1" x14ac:dyDescent="0.2">
      <c r="A30" s="100"/>
      <c r="B30" s="23">
        <v>26</v>
      </c>
      <c r="C30" s="20" t="s">
        <v>40</v>
      </c>
      <c r="D30" s="21" t="s">
        <v>41</v>
      </c>
      <c r="E30" s="38">
        <v>38751</v>
      </c>
      <c r="F30" s="38">
        <v>38811</v>
      </c>
      <c r="G30" s="36">
        <v>60</v>
      </c>
      <c r="H30" s="36" t="s">
        <v>0</v>
      </c>
      <c r="I30" s="9">
        <v>1500000000</v>
      </c>
      <c r="J30" s="43">
        <v>0</v>
      </c>
      <c r="K30" s="9">
        <v>1500000000</v>
      </c>
      <c r="L30" s="9">
        <v>1136000000</v>
      </c>
      <c r="M30" s="9">
        <v>1178983334</v>
      </c>
      <c r="N30" s="43">
        <v>0.7573333333333333</v>
      </c>
      <c r="O30" s="43">
        <v>0.22950000000000001</v>
      </c>
      <c r="P30" s="43">
        <v>0.22700000000000001</v>
      </c>
      <c r="Q30" s="9">
        <v>18184283090</v>
      </c>
      <c r="R30" s="9">
        <v>18624431785.849991</v>
      </c>
      <c r="S30" s="6"/>
      <c r="U30" s="66"/>
      <c r="V30" s="66"/>
    </row>
    <row r="31" spans="1:22" ht="26.25" customHeight="1" x14ac:dyDescent="0.2">
      <c r="A31" s="100"/>
      <c r="B31" s="24">
        <v>27</v>
      </c>
      <c r="C31" s="20" t="s">
        <v>40</v>
      </c>
      <c r="D31" s="21" t="s">
        <v>41</v>
      </c>
      <c r="E31" s="46">
        <v>38751</v>
      </c>
      <c r="F31" s="46">
        <v>38765</v>
      </c>
      <c r="G31" s="39">
        <v>14</v>
      </c>
      <c r="H31" s="39" t="s">
        <v>1</v>
      </c>
      <c r="I31" s="12">
        <v>3000000000</v>
      </c>
      <c r="J31" s="45">
        <v>1.15E-2</v>
      </c>
      <c r="K31" s="12">
        <v>3034500000</v>
      </c>
      <c r="L31" s="12">
        <v>3034500000</v>
      </c>
      <c r="M31" s="12">
        <v>3058026996</v>
      </c>
      <c r="N31" s="45">
        <v>1</v>
      </c>
      <c r="O31" s="45">
        <v>0.2</v>
      </c>
      <c r="P31" s="45">
        <v>0.19939999999999999</v>
      </c>
      <c r="Q31" s="12">
        <v>21218783090</v>
      </c>
      <c r="R31" s="12">
        <v>21682458781.849991</v>
      </c>
      <c r="S31" s="6"/>
      <c r="U31" s="66"/>
      <c r="V31" s="66"/>
    </row>
    <row r="32" spans="1:22" ht="26.25" customHeight="1" x14ac:dyDescent="0.2">
      <c r="A32" s="100"/>
      <c r="B32" s="24">
        <v>28</v>
      </c>
      <c r="C32" s="20" t="s">
        <v>40</v>
      </c>
      <c r="D32" s="21" t="s">
        <v>41</v>
      </c>
      <c r="E32" s="46">
        <v>38754</v>
      </c>
      <c r="F32" s="46">
        <v>38768</v>
      </c>
      <c r="G32" s="39">
        <v>14</v>
      </c>
      <c r="H32" s="39" t="s">
        <v>0</v>
      </c>
      <c r="I32" s="12">
        <v>1000000000</v>
      </c>
      <c r="J32" s="45">
        <v>0</v>
      </c>
      <c r="K32" s="12">
        <v>1000000000</v>
      </c>
      <c r="L32" s="12">
        <v>810000000</v>
      </c>
      <c r="M32" s="12">
        <v>816293576</v>
      </c>
      <c r="N32" s="45">
        <v>0.81</v>
      </c>
      <c r="O32" s="45">
        <v>0.2</v>
      </c>
      <c r="P32" s="45">
        <v>0.19980000000000001</v>
      </c>
      <c r="Q32" s="12">
        <v>21903654590</v>
      </c>
      <c r="R32" s="12">
        <v>22369550208.849991</v>
      </c>
      <c r="S32" s="6"/>
      <c r="U32" s="66"/>
      <c r="V32" s="66"/>
    </row>
    <row r="33" spans="1:22" ht="26.25" customHeight="1" x14ac:dyDescent="0.2">
      <c r="A33" s="100"/>
      <c r="B33" s="23">
        <v>29</v>
      </c>
      <c r="C33" s="20" t="s">
        <v>40</v>
      </c>
      <c r="D33" s="21" t="s">
        <v>41</v>
      </c>
      <c r="E33" s="47">
        <v>38756</v>
      </c>
      <c r="F33" s="47">
        <f>+E33+G33</f>
        <v>38816</v>
      </c>
      <c r="G33" s="48">
        <v>60</v>
      </c>
      <c r="H33" s="48" t="s">
        <v>0</v>
      </c>
      <c r="I33" s="9">
        <v>1000000000</v>
      </c>
      <c r="J33" s="43">
        <v>0</v>
      </c>
      <c r="K33" s="9">
        <f>+I33*(1+J33)</f>
        <v>1000000000</v>
      </c>
      <c r="L33" s="9">
        <v>642900000</v>
      </c>
      <c r="M33" s="9">
        <v>667319951.5</v>
      </c>
      <c r="N33" s="43">
        <f>+L33/K33</f>
        <v>0.64290000000000003</v>
      </c>
      <c r="O33" s="43">
        <v>0.23</v>
      </c>
      <c r="P33" s="43">
        <v>0.22789999999999999</v>
      </c>
      <c r="Q33" s="9">
        <f>+Q32+L33-L22-L20-143004000</f>
        <v>18255855590</v>
      </c>
      <c r="R33" s="9">
        <f>+R32+M33-M20-M22-147548543</f>
        <v>18708494155.349991</v>
      </c>
      <c r="S33" s="6"/>
      <c r="U33" s="66"/>
      <c r="V33" s="66"/>
    </row>
    <row r="34" spans="1:22" ht="26.25" customHeight="1" x14ac:dyDescent="0.2">
      <c r="A34" s="100"/>
      <c r="B34" s="24">
        <v>30</v>
      </c>
      <c r="C34" s="20" t="s">
        <v>40</v>
      </c>
      <c r="D34" s="21" t="s">
        <v>41</v>
      </c>
      <c r="E34" s="49">
        <v>38756</v>
      </c>
      <c r="F34" s="49">
        <f>+E34+G34</f>
        <v>38770</v>
      </c>
      <c r="G34" s="50">
        <v>14</v>
      </c>
      <c r="H34" s="50" t="s">
        <v>0</v>
      </c>
      <c r="I34" s="12">
        <v>3500000000</v>
      </c>
      <c r="J34" s="45">
        <v>0</v>
      </c>
      <c r="K34" s="12">
        <f>+I34*(1+J34)</f>
        <v>3500000000</v>
      </c>
      <c r="L34" s="12">
        <v>2770000000</v>
      </c>
      <c r="M34" s="12">
        <v>2791516935.5</v>
      </c>
      <c r="N34" s="45">
        <f>+L34/K34</f>
        <v>0.79142857142857148</v>
      </c>
      <c r="O34" s="45">
        <v>0.2</v>
      </c>
      <c r="P34" s="45">
        <v>0.19969999999999999</v>
      </c>
      <c r="Q34" s="12">
        <f>+Q33+L34</f>
        <v>21025855590</v>
      </c>
      <c r="R34" s="12">
        <f>+R33+M34</f>
        <v>21500011090.849991</v>
      </c>
      <c r="S34" s="6"/>
      <c r="U34" s="66"/>
      <c r="V34" s="66"/>
    </row>
    <row r="35" spans="1:22" ht="26.25" customHeight="1" x14ac:dyDescent="0.2">
      <c r="A35" s="100"/>
      <c r="B35" s="24">
        <v>31</v>
      </c>
      <c r="C35" s="20" t="s">
        <v>40</v>
      </c>
      <c r="D35" s="21" t="s">
        <v>41</v>
      </c>
      <c r="E35" s="49">
        <v>38757</v>
      </c>
      <c r="F35" s="49">
        <v>38772</v>
      </c>
      <c r="G35" s="50">
        <v>15</v>
      </c>
      <c r="H35" s="50" t="s">
        <v>0</v>
      </c>
      <c r="I35" s="12">
        <v>1000000000</v>
      </c>
      <c r="J35" s="45">
        <v>0</v>
      </c>
      <c r="K35" s="12">
        <v>1000000000</v>
      </c>
      <c r="L35" s="12">
        <v>735000000</v>
      </c>
      <c r="M35" s="12">
        <v>741121443.5</v>
      </c>
      <c r="N35" s="45">
        <v>0.73499999999999999</v>
      </c>
      <c r="O35" s="45">
        <v>0.2</v>
      </c>
      <c r="P35" s="45">
        <v>0.19989999999999999</v>
      </c>
      <c r="Q35" s="12">
        <v>21760855590</v>
      </c>
      <c r="R35" s="12">
        <v>22241132534.349991</v>
      </c>
      <c r="S35" s="6"/>
      <c r="U35" s="66"/>
      <c r="V35" s="66"/>
    </row>
    <row r="36" spans="1:22" ht="26.25" customHeight="1" x14ac:dyDescent="0.2">
      <c r="A36" s="100"/>
      <c r="B36" s="23">
        <v>32</v>
      </c>
      <c r="C36" s="20" t="s">
        <v>40</v>
      </c>
      <c r="D36" s="21" t="s">
        <v>42</v>
      </c>
      <c r="E36" s="47">
        <v>38758</v>
      </c>
      <c r="F36" s="38" t="s">
        <v>8</v>
      </c>
      <c r="G36" s="36" t="s">
        <v>8</v>
      </c>
      <c r="H36" s="48" t="s">
        <v>1</v>
      </c>
      <c r="I36" s="9">
        <v>100000000</v>
      </c>
      <c r="J36" s="41" t="s">
        <v>8</v>
      </c>
      <c r="K36" s="42" t="s">
        <v>8</v>
      </c>
      <c r="L36" s="9">
        <v>0</v>
      </c>
      <c r="M36" s="9">
        <v>0</v>
      </c>
      <c r="N36" s="43">
        <v>0</v>
      </c>
      <c r="O36" s="41" t="s">
        <v>8</v>
      </c>
      <c r="P36" s="41" t="s">
        <v>8</v>
      </c>
      <c r="Q36" s="9">
        <v>19538855590</v>
      </c>
      <c r="R36" s="9">
        <v>20000937234.349991</v>
      </c>
      <c r="S36" s="6"/>
      <c r="U36" s="66"/>
      <c r="V36" s="66"/>
    </row>
    <row r="37" spans="1:22" ht="26.25" customHeight="1" x14ac:dyDescent="0.2">
      <c r="A37" s="100"/>
      <c r="B37" s="23">
        <v>33</v>
      </c>
      <c r="C37" s="20" t="s">
        <v>40</v>
      </c>
      <c r="D37" s="21" t="s">
        <v>41</v>
      </c>
      <c r="E37" s="47">
        <v>38758</v>
      </c>
      <c r="F37" s="47">
        <v>38818</v>
      </c>
      <c r="G37" s="48">
        <v>60</v>
      </c>
      <c r="H37" s="48" t="s">
        <v>0</v>
      </c>
      <c r="I37" s="9">
        <v>1000000000</v>
      </c>
      <c r="J37" s="43">
        <v>0</v>
      </c>
      <c r="K37" s="9">
        <v>1000000000</v>
      </c>
      <c r="L37" s="9">
        <v>408000000</v>
      </c>
      <c r="M37" s="9">
        <v>423473595.10000002</v>
      </c>
      <c r="N37" s="43">
        <v>0.40799999999999997</v>
      </c>
      <c r="O37" s="43">
        <v>0.22939999999999999</v>
      </c>
      <c r="P37" s="43">
        <v>0.2276</v>
      </c>
      <c r="Q37" s="9">
        <v>19946855590</v>
      </c>
      <c r="R37" s="9">
        <v>20424410829.449989</v>
      </c>
      <c r="S37" s="6"/>
      <c r="U37" s="66"/>
      <c r="V37" s="66"/>
    </row>
    <row r="38" spans="1:22" ht="26.25" customHeight="1" x14ac:dyDescent="0.2">
      <c r="A38" s="100"/>
      <c r="B38" s="23">
        <v>34</v>
      </c>
      <c r="C38" s="20" t="s">
        <v>40</v>
      </c>
      <c r="D38" s="21" t="s">
        <v>41</v>
      </c>
      <c r="E38" s="47">
        <v>38758</v>
      </c>
      <c r="F38" s="47">
        <v>38772</v>
      </c>
      <c r="G38" s="48">
        <v>14</v>
      </c>
      <c r="H38" s="48" t="s">
        <v>0</v>
      </c>
      <c r="I38" s="9">
        <v>3500000000</v>
      </c>
      <c r="J38" s="43">
        <v>0</v>
      </c>
      <c r="K38" s="9">
        <v>3500000000</v>
      </c>
      <c r="L38" s="9">
        <v>390000000</v>
      </c>
      <c r="M38" s="9">
        <v>393032056</v>
      </c>
      <c r="N38" s="43">
        <v>0.11142857142857143</v>
      </c>
      <c r="O38" s="43">
        <v>0.2</v>
      </c>
      <c r="P38" s="43">
        <v>0.19989999999999999</v>
      </c>
      <c r="Q38" s="9">
        <v>20336855590</v>
      </c>
      <c r="R38" s="9">
        <v>20817442885.449989</v>
      </c>
      <c r="S38" s="6"/>
      <c r="U38" s="66"/>
      <c r="V38" s="66"/>
    </row>
    <row r="39" spans="1:22" ht="26.25" customHeight="1" x14ac:dyDescent="0.2">
      <c r="A39" s="100"/>
      <c r="B39" s="25">
        <v>35</v>
      </c>
      <c r="C39" s="20" t="s">
        <v>40</v>
      </c>
      <c r="D39" s="21" t="s">
        <v>41</v>
      </c>
      <c r="E39" s="44">
        <v>38762</v>
      </c>
      <c r="F39" s="44">
        <f>+E39+G39</f>
        <v>38777</v>
      </c>
      <c r="G39" s="51">
        <v>15</v>
      </c>
      <c r="H39" s="51" t="s">
        <v>1</v>
      </c>
      <c r="I39" s="14">
        <v>1000000000</v>
      </c>
      <c r="J39" s="52">
        <v>1.4500000000000001E-2</v>
      </c>
      <c r="K39" s="14">
        <f>+I39*(1+J39)</f>
        <v>1014500000</v>
      </c>
      <c r="L39" s="14">
        <v>603627500</v>
      </c>
      <c r="M39" s="14">
        <v>608648370</v>
      </c>
      <c r="N39" s="52">
        <f>+L39/K39</f>
        <v>0.59499999999999997</v>
      </c>
      <c r="O39" s="52">
        <v>0.2</v>
      </c>
      <c r="P39" s="52">
        <v>0.1996</v>
      </c>
      <c r="Q39" s="14">
        <f>Q38-479987500-115885000+603627500</f>
        <v>20344610590</v>
      </c>
      <c r="R39" s="14">
        <f>R38-483719650-119593320+608648370</f>
        <v>20822778285.449989</v>
      </c>
      <c r="S39" s="13"/>
      <c r="U39" s="66"/>
      <c r="V39" s="66"/>
    </row>
    <row r="40" spans="1:22" ht="26.25" customHeight="1" x14ac:dyDescent="0.2">
      <c r="A40" s="100">
        <v>2006</v>
      </c>
      <c r="B40" s="23">
        <v>36</v>
      </c>
      <c r="C40" s="20" t="s">
        <v>40</v>
      </c>
      <c r="D40" s="21" t="s">
        <v>41</v>
      </c>
      <c r="E40" s="38">
        <v>38765</v>
      </c>
      <c r="F40" s="38">
        <f>+E40+G40</f>
        <v>38825</v>
      </c>
      <c r="G40" s="36">
        <v>60</v>
      </c>
      <c r="H40" s="48" t="s">
        <v>0</v>
      </c>
      <c r="I40" s="9">
        <v>1000000000</v>
      </c>
      <c r="J40" s="43">
        <v>0</v>
      </c>
      <c r="K40" s="9">
        <v>1000000000</v>
      </c>
      <c r="L40" s="9">
        <v>1000000000</v>
      </c>
      <c r="M40" s="9">
        <v>1037769821.6</v>
      </c>
      <c r="N40" s="43">
        <f>+L40/K40</f>
        <v>1</v>
      </c>
      <c r="O40" s="43">
        <v>0.22889999999999999</v>
      </c>
      <c r="P40" s="43">
        <v>0.2266</v>
      </c>
      <c r="Q40" s="9">
        <f>Q39-4086460000+1000000000</f>
        <v>17258150590</v>
      </c>
      <c r="R40" s="9">
        <f>R39-4119311606+1037769821.6</f>
        <v>17741236501.049988</v>
      </c>
      <c r="S40" s="13">
        <f t="shared" ref="S40:S49" si="2">L40*P40</f>
        <v>226600000</v>
      </c>
    </row>
    <row r="41" spans="1:22" ht="26.25" customHeight="1" x14ac:dyDescent="0.2">
      <c r="A41" s="100"/>
      <c r="B41" s="25">
        <v>37</v>
      </c>
      <c r="C41" s="20" t="s">
        <v>40</v>
      </c>
      <c r="D41" s="21" t="s">
        <v>41</v>
      </c>
      <c r="E41" s="44">
        <v>38765</v>
      </c>
      <c r="F41" s="44">
        <f>+E41+G41</f>
        <v>38779</v>
      </c>
      <c r="G41" s="51">
        <v>14</v>
      </c>
      <c r="H41" s="67" t="s">
        <v>0</v>
      </c>
      <c r="I41" s="14">
        <v>3000000000</v>
      </c>
      <c r="J41" s="52">
        <v>0</v>
      </c>
      <c r="K41" s="14">
        <v>3000000000</v>
      </c>
      <c r="L41" s="14">
        <v>2493000000</v>
      </c>
      <c r="M41" s="14">
        <v>2512336258.5</v>
      </c>
      <c r="N41" s="52">
        <f>+L41/K41</f>
        <v>0.83099999999999996</v>
      </c>
      <c r="O41" s="52">
        <v>0.2</v>
      </c>
      <c r="P41" s="52">
        <v>0.19939999999999999</v>
      </c>
      <c r="Q41" s="14">
        <f>Q40+2493000000</f>
        <v>19751150590</v>
      </c>
      <c r="R41" s="14">
        <f>R40+2512336258.5</f>
        <v>20253572759.549988</v>
      </c>
      <c r="S41" s="13">
        <f t="shared" si="2"/>
        <v>497104200</v>
      </c>
    </row>
    <row r="42" spans="1:22" ht="26.25" customHeight="1" x14ac:dyDescent="0.2">
      <c r="A42" s="100"/>
      <c r="B42" s="24">
        <v>38</v>
      </c>
      <c r="C42" s="20" t="s">
        <v>40</v>
      </c>
      <c r="D42" s="21" t="s">
        <v>41</v>
      </c>
      <c r="E42" s="46">
        <v>38768</v>
      </c>
      <c r="F42" s="46">
        <v>38782</v>
      </c>
      <c r="G42" s="39">
        <v>14</v>
      </c>
      <c r="H42" s="50" t="s">
        <v>0</v>
      </c>
      <c r="I42" s="12">
        <v>1000000000</v>
      </c>
      <c r="J42" s="45">
        <v>0</v>
      </c>
      <c r="K42" s="12">
        <v>1000000000</v>
      </c>
      <c r="L42" s="12">
        <v>715000000</v>
      </c>
      <c r="M42" s="12">
        <v>720557407.5</v>
      </c>
      <c r="N42" s="45">
        <v>0.71499999999999997</v>
      </c>
      <c r="O42" s="45">
        <v>0.2</v>
      </c>
      <c r="P42" s="45">
        <v>0.19989999999999999</v>
      </c>
      <c r="Q42" s="12">
        <v>19656150590</v>
      </c>
      <c r="R42" s="12">
        <v>20157836591.049988</v>
      </c>
      <c r="S42" s="13">
        <f t="shared" si="2"/>
        <v>142928500</v>
      </c>
    </row>
    <row r="43" spans="1:22" ht="26.25" customHeight="1" x14ac:dyDescent="0.2">
      <c r="A43" s="100"/>
      <c r="B43" s="23">
        <v>39</v>
      </c>
      <c r="C43" s="20" t="s">
        <v>40</v>
      </c>
      <c r="D43" s="21" t="s">
        <v>41</v>
      </c>
      <c r="E43" s="38">
        <v>38770</v>
      </c>
      <c r="F43" s="38">
        <v>38830</v>
      </c>
      <c r="G43" s="36">
        <v>60</v>
      </c>
      <c r="H43" s="48" t="s">
        <v>0</v>
      </c>
      <c r="I43" s="9">
        <v>1500000000</v>
      </c>
      <c r="J43" s="43">
        <v>0</v>
      </c>
      <c r="K43" s="9">
        <v>1500000000</v>
      </c>
      <c r="L43" s="9">
        <v>960000000</v>
      </c>
      <c r="M43" s="9">
        <v>996571859</v>
      </c>
      <c r="N43" s="43">
        <v>0.64</v>
      </c>
      <c r="O43" s="43">
        <v>0.2296</v>
      </c>
      <c r="P43" s="43">
        <v>0.2286</v>
      </c>
      <c r="Q43" s="9">
        <v>17380895590</v>
      </c>
      <c r="R43" s="9">
        <v>17881473901.549988</v>
      </c>
      <c r="S43" s="13">
        <f t="shared" si="2"/>
        <v>219456000</v>
      </c>
    </row>
    <row r="44" spans="1:22" ht="26.25" customHeight="1" x14ac:dyDescent="0.2">
      <c r="A44" s="100"/>
      <c r="B44" s="24">
        <v>40</v>
      </c>
      <c r="C44" s="20" t="s">
        <v>40</v>
      </c>
      <c r="D44" s="21" t="s">
        <v>41</v>
      </c>
      <c r="E44" s="46">
        <v>38770</v>
      </c>
      <c r="F44" s="46">
        <v>38784</v>
      </c>
      <c r="G44" s="39">
        <v>14</v>
      </c>
      <c r="H44" s="50" t="s">
        <v>1</v>
      </c>
      <c r="I44" s="12">
        <v>4000000000</v>
      </c>
      <c r="J44" s="45">
        <v>1.6E-2</v>
      </c>
      <c r="K44" s="12">
        <v>4064000000</v>
      </c>
      <c r="L44" s="12">
        <v>2275840000</v>
      </c>
      <c r="M44" s="12">
        <v>2293501120</v>
      </c>
      <c r="N44" s="45">
        <v>0.56000000000000005</v>
      </c>
      <c r="O44" s="45">
        <v>0.2</v>
      </c>
      <c r="P44" s="45">
        <v>0.1996</v>
      </c>
      <c r="Q44" s="12">
        <v>19656735590</v>
      </c>
      <c r="R44" s="12">
        <v>20174975021.549988</v>
      </c>
      <c r="S44" s="13">
        <f t="shared" si="2"/>
        <v>454257664</v>
      </c>
    </row>
    <row r="45" spans="1:22" ht="26.25" customHeight="1" x14ac:dyDescent="0.2">
      <c r="A45" s="100"/>
      <c r="B45" s="24">
        <v>41</v>
      </c>
      <c r="C45" s="20" t="s">
        <v>40</v>
      </c>
      <c r="D45" s="21" t="s">
        <v>41</v>
      </c>
      <c r="E45" s="46">
        <v>38771</v>
      </c>
      <c r="F45" s="46">
        <v>38786</v>
      </c>
      <c r="G45" s="39">
        <v>15</v>
      </c>
      <c r="H45" s="50" t="s">
        <v>0</v>
      </c>
      <c r="I45" s="12">
        <v>2000000000</v>
      </c>
      <c r="J45" s="45">
        <v>0</v>
      </c>
      <c r="K45" s="12">
        <v>2000000000</v>
      </c>
      <c r="L45" s="12">
        <v>2000000000</v>
      </c>
      <c r="M45" s="12">
        <v>2016663435.8</v>
      </c>
      <c r="N45" s="45">
        <v>1</v>
      </c>
      <c r="O45" s="45">
        <v>0.2</v>
      </c>
      <c r="P45" s="45">
        <v>0.2</v>
      </c>
      <c r="Q45" s="12">
        <v>21656735590</v>
      </c>
      <c r="R45" s="12">
        <v>22191638457.349987</v>
      </c>
      <c r="S45" s="13">
        <f t="shared" si="2"/>
        <v>400000000</v>
      </c>
    </row>
    <row r="46" spans="1:22" ht="26.25" customHeight="1" x14ac:dyDescent="0.2">
      <c r="A46" s="100"/>
      <c r="B46" s="23">
        <v>42</v>
      </c>
      <c r="C46" s="20" t="s">
        <v>40</v>
      </c>
      <c r="D46" s="21" t="s">
        <v>42</v>
      </c>
      <c r="E46" s="38">
        <v>38772</v>
      </c>
      <c r="F46" s="38" t="s">
        <v>8</v>
      </c>
      <c r="G46" s="36" t="s">
        <v>8</v>
      </c>
      <c r="H46" s="48" t="s">
        <v>1</v>
      </c>
      <c r="I46" s="9">
        <v>100000000</v>
      </c>
      <c r="J46" s="41" t="s">
        <v>8</v>
      </c>
      <c r="K46" s="42" t="s">
        <v>8</v>
      </c>
      <c r="L46" s="9">
        <v>45541950</v>
      </c>
      <c r="M46" s="9">
        <v>50000000</v>
      </c>
      <c r="N46" s="43">
        <v>0.5</v>
      </c>
      <c r="O46" s="43">
        <v>0.14990000000000001</v>
      </c>
      <c r="P46" s="43">
        <v>0.14990000000000001</v>
      </c>
      <c r="Q46" s="9">
        <v>20531735590</v>
      </c>
      <c r="R46" s="9">
        <v>21057484957.849987</v>
      </c>
      <c r="S46" s="13">
        <f t="shared" si="2"/>
        <v>6826738.3050000006</v>
      </c>
    </row>
    <row r="47" spans="1:22" ht="26.25" customHeight="1" x14ac:dyDescent="0.2">
      <c r="A47" s="100"/>
      <c r="B47" s="23">
        <v>43</v>
      </c>
      <c r="C47" s="20" t="s">
        <v>40</v>
      </c>
      <c r="D47" s="21" t="s">
        <v>41</v>
      </c>
      <c r="E47" s="38">
        <v>38772</v>
      </c>
      <c r="F47" s="38">
        <v>38832</v>
      </c>
      <c r="G47" s="36">
        <v>60</v>
      </c>
      <c r="H47" s="48" t="s">
        <v>0</v>
      </c>
      <c r="I47" s="9">
        <v>1500000000</v>
      </c>
      <c r="J47" s="43">
        <v>0</v>
      </c>
      <c r="K47" s="9">
        <v>1500000000</v>
      </c>
      <c r="L47" s="9">
        <v>355000000</v>
      </c>
      <c r="M47" s="9">
        <v>368398332</v>
      </c>
      <c r="N47" s="43">
        <f t="shared" ref="N47:N55" si="3">L47/K47</f>
        <v>0.23666666666666666</v>
      </c>
      <c r="O47" s="43">
        <v>0.22950000000000001</v>
      </c>
      <c r="P47" s="43">
        <v>0.22650000000000001</v>
      </c>
      <c r="Q47" s="9">
        <v>20886735590</v>
      </c>
      <c r="R47" s="9">
        <v>21425883289.849987</v>
      </c>
      <c r="S47" s="13">
        <f t="shared" si="2"/>
        <v>80407500</v>
      </c>
    </row>
    <row r="48" spans="1:22" ht="26.25" customHeight="1" x14ac:dyDescent="0.2">
      <c r="A48" s="100"/>
      <c r="B48" s="23">
        <v>44</v>
      </c>
      <c r="C48" s="20" t="s">
        <v>40</v>
      </c>
      <c r="D48" s="21" t="s">
        <v>41</v>
      </c>
      <c r="E48" s="38">
        <v>38772</v>
      </c>
      <c r="F48" s="38">
        <v>38786</v>
      </c>
      <c r="G48" s="36">
        <v>14</v>
      </c>
      <c r="H48" s="48" t="s">
        <v>0</v>
      </c>
      <c r="I48" s="9">
        <v>3500000000</v>
      </c>
      <c r="J48" s="43">
        <v>0</v>
      </c>
      <c r="K48" s="9">
        <v>3500000000</v>
      </c>
      <c r="L48" s="9">
        <v>1660000000</v>
      </c>
      <c r="M48" s="9">
        <v>1672903351</v>
      </c>
      <c r="N48" s="43">
        <f t="shared" si="3"/>
        <v>0.47428571428571431</v>
      </c>
      <c r="O48" s="43">
        <v>0.2</v>
      </c>
      <c r="P48" s="43">
        <v>0.19989999999999999</v>
      </c>
      <c r="Q48" s="9">
        <v>22546735590</v>
      </c>
      <c r="R48" s="9">
        <v>23098786640.849987</v>
      </c>
      <c r="S48" s="13">
        <f t="shared" si="2"/>
        <v>331834000</v>
      </c>
    </row>
    <row r="49" spans="1:19" ht="26.25" customHeight="1" x14ac:dyDescent="0.2">
      <c r="A49" s="100"/>
      <c r="B49" s="26">
        <v>45</v>
      </c>
      <c r="C49" s="20" t="s">
        <v>40</v>
      </c>
      <c r="D49" s="21" t="s">
        <v>41</v>
      </c>
      <c r="E49" s="46">
        <v>38775</v>
      </c>
      <c r="F49" s="46">
        <v>38789</v>
      </c>
      <c r="G49" s="39">
        <v>14</v>
      </c>
      <c r="H49" s="50" t="s">
        <v>0</v>
      </c>
      <c r="I49" s="12">
        <v>2000000000</v>
      </c>
      <c r="J49" s="45">
        <v>0</v>
      </c>
      <c r="K49" s="12">
        <v>2000000000</v>
      </c>
      <c r="L49" s="12">
        <v>490000000</v>
      </c>
      <c r="M49" s="12">
        <v>493809172</v>
      </c>
      <c r="N49" s="45">
        <f t="shared" si="3"/>
        <v>0.245</v>
      </c>
      <c r="O49" s="45">
        <v>0.2</v>
      </c>
      <c r="P49" s="45">
        <v>0.19989999999999999</v>
      </c>
      <c r="Q49" s="12">
        <f>22546735590+490000000</f>
        <v>23036735590</v>
      </c>
      <c r="R49" s="12">
        <f>23098786640.85+493809172</f>
        <v>23592595812.849998</v>
      </c>
      <c r="S49" s="13">
        <f t="shared" si="2"/>
        <v>97951000</v>
      </c>
    </row>
    <row r="50" spans="1:19" ht="26.25" customHeight="1" x14ac:dyDescent="0.2">
      <c r="A50" s="100"/>
      <c r="B50" s="23">
        <v>46</v>
      </c>
      <c r="C50" s="20" t="s">
        <v>40</v>
      </c>
      <c r="D50" s="21" t="s">
        <v>41</v>
      </c>
      <c r="E50" s="38">
        <v>38777</v>
      </c>
      <c r="F50" s="38">
        <f>+E50+G50</f>
        <v>38835</v>
      </c>
      <c r="G50" s="36">
        <v>58</v>
      </c>
      <c r="H50" s="36" t="s">
        <v>0</v>
      </c>
      <c r="I50" s="9">
        <v>1000000000</v>
      </c>
      <c r="J50" s="43">
        <v>0</v>
      </c>
      <c r="K50" s="9">
        <f>+I50*(1+J50)</f>
        <v>1000000000</v>
      </c>
      <c r="L50" s="9">
        <v>480000000</v>
      </c>
      <c r="M50" s="9">
        <v>497625071</v>
      </c>
      <c r="N50" s="43">
        <f t="shared" si="3"/>
        <v>0.48</v>
      </c>
      <c r="O50" s="43">
        <v>0.22900000000000001</v>
      </c>
      <c r="P50" s="43">
        <v>0.22789999999999999</v>
      </c>
      <c r="Q50" s="9">
        <f>+Q49+L50-L39-52825000</f>
        <v>22860283090</v>
      </c>
      <c r="R50" s="9">
        <f>+R49+M50-M39-54706270</f>
        <v>23426866243.849998</v>
      </c>
      <c r="S50" s="13"/>
    </row>
    <row r="51" spans="1:19" ht="26.25" customHeight="1" x14ac:dyDescent="0.2">
      <c r="A51" s="100"/>
      <c r="B51" s="23">
        <v>47</v>
      </c>
      <c r="C51" s="20" t="s">
        <v>40</v>
      </c>
      <c r="D51" s="21" t="s">
        <v>41</v>
      </c>
      <c r="E51" s="38">
        <v>38777</v>
      </c>
      <c r="F51" s="38">
        <f>+E51+G51</f>
        <v>38791</v>
      </c>
      <c r="G51" s="36">
        <v>14</v>
      </c>
      <c r="H51" s="36" t="s">
        <v>0</v>
      </c>
      <c r="I51" s="9">
        <v>2000000000</v>
      </c>
      <c r="J51" s="43">
        <v>0</v>
      </c>
      <c r="K51" s="9">
        <f>+I51*(1+J51)</f>
        <v>2000000000</v>
      </c>
      <c r="L51" s="9">
        <v>1255000000</v>
      </c>
      <c r="M51" s="9">
        <v>1264757281</v>
      </c>
      <c r="N51" s="43">
        <f t="shared" si="3"/>
        <v>0.62749999999999995</v>
      </c>
      <c r="O51" s="43">
        <v>0.2</v>
      </c>
      <c r="P51" s="43">
        <v>0.19989999999999999</v>
      </c>
      <c r="Q51" s="9">
        <f>+Q50+L51</f>
        <v>24115283090</v>
      </c>
      <c r="R51" s="9">
        <f>+R50+M51</f>
        <v>24691623524.849998</v>
      </c>
      <c r="S51" s="13"/>
    </row>
    <row r="52" spans="1:19" ht="26.25" customHeight="1" x14ac:dyDescent="0.2">
      <c r="A52" s="100"/>
      <c r="B52" s="22">
        <v>48</v>
      </c>
      <c r="C52" s="20" t="s">
        <v>40</v>
      </c>
      <c r="D52" s="21" t="s">
        <v>41</v>
      </c>
      <c r="E52" s="38">
        <v>38779</v>
      </c>
      <c r="F52" s="38">
        <f>+E52+G52</f>
        <v>38839</v>
      </c>
      <c r="G52" s="32">
        <v>60</v>
      </c>
      <c r="H52" s="36" t="s">
        <v>0</v>
      </c>
      <c r="I52" s="9">
        <v>1500000000</v>
      </c>
      <c r="J52" s="43">
        <v>0</v>
      </c>
      <c r="K52" s="9">
        <v>1500000000</v>
      </c>
      <c r="L52" s="9">
        <v>1500000000</v>
      </c>
      <c r="M52" s="9">
        <v>1556833482</v>
      </c>
      <c r="N52" s="43">
        <f t="shared" si="3"/>
        <v>1</v>
      </c>
      <c r="O52" s="68">
        <v>0.23200000000000001</v>
      </c>
      <c r="P52" s="68">
        <v>0.2273</v>
      </c>
      <c r="Q52" s="16">
        <f>24115283090+1500000000-L41</f>
        <v>23122283090</v>
      </c>
      <c r="R52" s="16">
        <f>24691623524.85+1556833482-M41</f>
        <v>23736120748.349998</v>
      </c>
      <c r="S52" s="13"/>
    </row>
    <row r="53" spans="1:19" ht="26.25" customHeight="1" x14ac:dyDescent="0.2">
      <c r="A53" s="100"/>
      <c r="B53" s="24">
        <v>49</v>
      </c>
      <c r="C53" s="20" t="s">
        <v>40</v>
      </c>
      <c r="D53" s="21" t="s">
        <v>41</v>
      </c>
      <c r="E53" s="46">
        <v>38779</v>
      </c>
      <c r="F53" s="46">
        <f>+E53+G53</f>
        <v>38793</v>
      </c>
      <c r="G53" s="39">
        <v>14</v>
      </c>
      <c r="H53" s="39" t="s">
        <v>0</v>
      </c>
      <c r="I53" s="12">
        <v>3500000000</v>
      </c>
      <c r="J53" s="45">
        <v>0</v>
      </c>
      <c r="K53" s="12">
        <v>3500000000</v>
      </c>
      <c r="L53" s="12">
        <v>3468000000</v>
      </c>
      <c r="M53" s="12">
        <v>3496081272.9000001</v>
      </c>
      <c r="N53" s="45">
        <f t="shared" si="3"/>
        <v>0.99085714285714288</v>
      </c>
      <c r="O53" s="45">
        <v>0.21</v>
      </c>
      <c r="P53" s="45">
        <v>0.2082</v>
      </c>
      <c r="Q53" s="14">
        <f>23122283090+3468000000</f>
        <v>26590283090</v>
      </c>
      <c r="R53" s="12">
        <f>23736120748.35+3496081272.9</f>
        <v>27232202021.25</v>
      </c>
      <c r="S53" s="13"/>
    </row>
    <row r="54" spans="1:19" ht="26.25" customHeight="1" x14ac:dyDescent="0.2">
      <c r="A54" s="100"/>
      <c r="B54" s="23">
        <v>50</v>
      </c>
      <c r="C54" s="20" t="s">
        <v>40</v>
      </c>
      <c r="D54" s="21" t="s">
        <v>41</v>
      </c>
      <c r="E54" s="38">
        <v>38782</v>
      </c>
      <c r="F54" s="38">
        <v>38842</v>
      </c>
      <c r="G54" s="36">
        <v>60</v>
      </c>
      <c r="H54" s="36" t="s">
        <v>1</v>
      </c>
      <c r="I54" s="9">
        <v>1500000000</v>
      </c>
      <c r="J54" s="43">
        <v>0.03</v>
      </c>
      <c r="K54" s="9">
        <v>1545000000</v>
      </c>
      <c r="L54" s="9">
        <v>1333850000</v>
      </c>
      <c r="M54" s="9">
        <v>1384990830</v>
      </c>
      <c r="N54" s="45">
        <f t="shared" si="3"/>
        <v>0.86333333333333329</v>
      </c>
      <c r="O54" s="43">
        <v>0.23499999999999999</v>
      </c>
      <c r="P54" s="43">
        <v>0.23</v>
      </c>
      <c r="Q54" s="9">
        <v>26467818090</v>
      </c>
      <c r="R54" s="9">
        <v>27128593343.749989</v>
      </c>
      <c r="S54" s="13"/>
    </row>
    <row r="55" spans="1:19" ht="26.25" customHeight="1" x14ac:dyDescent="0.2">
      <c r="A55" s="100"/>
      <c r="B55" s="24">
        <v>51</v>
      </c>
      <c r="C55" s="20" t="s">
        <v>40</v>
      </c>
      <c r="D55" s="21" t="s">
        <v>41</v>
      </c>
      <c r="E55" s="46">
        <v>38782</v>
      </c>
      <c r="F55" s="46">
        <v>38796</v>
      </c>
      <c r="G55" s="39">
        <v>14</v>
      </c>
      <c r="H55" s="39" t="s">
        <v>1</v>
      </c>
      <c r="I55" s="12">
        <v>1500000000</v>
      </c>
      <c r="J55" s="45">
        <v>1.9E-2</v>
      </c>
      <c r="K55" s="12">
        <v>1528499999.9999998</v>
      </c>
      <c r="L55" s="12">
        <v>684768000</v>
      </c>
      <c r="M55" s="12">
        <v>690332976</v>
      </c>
      <c r="N55" s="45">
        <f t="shared" si="3"/>
        <v>0.44800000000000006</v>
      </c>
      <c r="O55" s="45">
        <v>0.21</v>
      </c>
      <c r="P55" s="45">
        <v>0.20899999999999999</v>
      </c>
      <c r="Q55" s="12">
        <v>27152586090</v>
      </c>
      <c r="R55" s="12">
        <v>27818926319.749989</v>
      </c>
      <c r="S55" s="13"/>
    </row>
    <row r="56" spans="1:19" ht="26.25" customHeight="1" x14ac:dyDescent="0.2">
      <c r="A56" s="100"/>
      <c r="B56" s="23">
        <v>52</v>
      </c>
      <c r="C56" s="20" t="s">
        <v>40</v>
      </c>
      <c r="D56" s="21" t="s">
        <v>41</v>
      </c>
      <c r="E56" s="38">
        <v>38784</v>
      </c>
      <c r="F56" s="38">
        <f>+E56+G56</f>
        <v>38844</v>
      </c>
      <c r="G56" s="36">
        <v>60</v>
      </c>
      <c r="H56" s="36" t="s">
        <v>1</v>
      </c>
      <c r="I56" s="9">
        <v>3000000000</v>
      </c>
      <c r="J56" s="43">
        <v>0.03</v>
      </c>
      <c r="K56" s="9">
        <v>3090000000</v>
      </c>
      <c r="L56" s="9">
        <v>2034250000</v>
      </c>
      <c r="M56" s="9">
        <v>2113465145</v>
      </c>
      <c r="N56" s="43">
        <f>L56/K56</f>
        <v>0.65833333333333333</v>
      </c>
      <c r="O56" s="43">
        <v>0.24</v>
      </c>
      <c r="P56" s="43">
        <v>0.2336</v>
      </c>
      <c r="Q56" s="9">
        <f>+Q55+L56-L44-L8</f>
        <v>25450996090</v>
      </c>
      <c r="R56" s="9">
        <f>+R55+M56-M44-M8</f>
        <v>26126794668.749989</v>
      </c>
      <c r="S56" s="13"/>
    </row>
    <row r="57" spans="1:19" ht="26.25" customHeight="1" x14ac:dyDescent="0.2">
      <c r="A57" s="100"/>
      <c r="B57" s="24">
        <v>53</v>
      </c>
      <c r="C57" s="20" t="s">
        <v>40</v>
      </c>
      <c r="D57" s="21" t="s">
        <v>41</v>
      </c>
      <c r="E57" s="46">
        <v>38784</v>
      </c>
      <c r="F57" s="46">
        <f>+E57+G57</f>
        <v>38798</v>
      </c>
      <c r="G57" s="39">
        <v>14</v>
      </c>
      <c r="H57" s="39" t="s">
        <v>1</v>
      </c>
      <c r="I57" s="12">
        <v>3000000000</v>
      </c>
      <c r="J57" s="45">
        <v>1.95E-2</v>
      </c>
      <c r="K57" s="12">
        <v>3058500000</v>
      </c>
      <c r="L57" s="12">
        <v>2747552500</v>
      </c>
      <c r="M57" s="12">
        <v>2769935800</v>
      </c>
      <c r="N57" s="45">
        <f>L57/K57</f>
        <v>0.89833333333333332</v>
      </c>
      <c r="O57" s="45">
        <v>0.21</v>
      </c>
      <c r="P57" s="45">
        <v>0.20949999999999999</v>
      </c>
      <c r="Q57" s="12">
        <f>+Q56+L57</f>
        <v>28198548590</v>
      </c>
      <c r="R57" s="12">
        <f>+R56+M57</f>
        <v>28896730468.749989</v>
      </c>
      <c r="S57" s="13"/>
    </row>
    <row r="58" spans="1:19" ht="26.25" customHeight="1" x14ac:dyDescent="0.2">
      <c r="A58" s="100"/>
      <c r="B58" s="24">
        <v>54</v>
      </c>
      <c r="C58" s="20" t="s">
        <v>40</v>
      </c>
      <c r="D58" s="21" t="s">
        <v>41</v>
      </c>
      <c r="E58" s="46">
        <v>38785</v>
      </c>
      <c r="F58" s="46">
        <v>38799</v>
      </c>
      <c r="G58" s="39">
        <v>14</v>
      </c>
      <c r="H58" s="39" t="s">
        <v>0</v>
      </c>
      <c r="I58" s="12">
        <v>2000000000</v>
      </c>
      <c r="J58" s="45">
        <v>0</v>
      </c>
      <c r="K58" s="12">
        <v>2000000000</v>
      </c>
      <c r="L58" s="12">
        <v>1085000000</v>
      </c>
      <c r="M58" s="12">
        <v>1093824853</v>
      </c>
      <c r="N58" s="45">
        <f>L58/K58</f>
        <v>0.54249999999999998</v>
      </c>
      <c r="O58" s="45">
        <v>0.21</v>
      </c>
      <c r="P58" s="45">
        <v>0.20910000000000001</v>
      </c>
      <c r="Q58" s="12">
        <v>29283548590</v>
      </c>
      <c r="R58" s="12">
        <v>29990555321.749989</v>
      </c>
      <c r="S58" s="13"/>
    </row>
    <row r="59" spans="1:19" ht="26.25" customHeight="1" x14ac:dyDescent="0.2">
      <c r="A59" s="100"/>
      <c r="B59" s="23">
        <v>55</v>
      </c>
      <c r="C59" s="20" t="s">
        <v>40</v>
      </c>
      <c r="D59" s="21" t="s">
        <v>42</v>
      </c>
      <c r="E59" s="38">
        <v>38786</v>
      </c>
      <c r="F59" s="38" t="s">
        <v>8</v>
      </c>
      <c r="G59" s="36" t="s">
        <v>8</v>
      </c>
      <c r="H59" s="36" t="s">
        <v>1</v>
      </c>
      <c r="I59" s="9">
        <v>100000000</v>
      </c>
      <c r="J59" s="41" t="s">
        <v>8</v>
      </c>
      <c r="K59" s="42" t="s">
        <v>8</v>
      </c>
      <c r="L59" s="9">
        <v>0</v>
      </c>
      <c r="M59" s="9">
        <v>0</v>
      </c>
      <c r="N59" s="45">
        <v>0</v>
      </c>
      <c r="O59" s="41" t="s">
        <v>8</v>
      </c>
      <c r="P59" s="41" t="s">
        <v>8</v>
      </c>
      <c r="Q59" s="9">
        <v>25623548590</v>
      </c>
      <c r="R59" s="9">
        <v>26300988534.949989</v>
      </c>
      <c r="S59" s="13"/>
    </row>
    <row r="60" spans="1:19" ht="26.25" customHeight="1" x14ac:dyDescent="0.2">
      <c r="A60" s="100"/>
      <c r="B60" s="23">
        <v>56</v>
      </c>
      <c r="C60" s="20" t="s">
        <v>40</v>
      </c>
      <c r="D60" s="21" t="s">
        <v>41</v>
      </c>
      <c r="E60" s="38">
        <v>38786</v>
      </c>
      <c r="F60" s="38">
        <v>38846</v>
      </c>
      <c r="G60" s="36">
        <v>60</v>
      </c>
      <c r="H60" s="36" t="s">
        <v>0</v>
      </c>
      <c r="I60" s="9">
        <v>3000000000</v>
      </c>
      <c r="J60" s="43">
        <v>0</v>
      </c>
      <c r="K60" s="9">
        <v>3000000000</v>
      </c>
      <c r="L60" s="9">
        <v>590000000</v>
      </c>
      <c r="M60" s="9">
        <v>613088323</v>
      </c>
      <c r="N60" s="45">
        <f t="shared" ref="N60:N65" si="4">L60/K60</f>
        <v>0.19666666666666666</v>
      </c>
      <c r="O60" s="43">
        <v>0.24</v>
      </c>
      <c r="P60" s="43">
        <v>0.23480000000000001</v>
      </c>
      <c r="Q60" s="9">
        <v>26213548590</v>
      </c>
      <c r="R60" s="9">
        <v>26914076857.949989</v>
      </c>
      <c r="S60" s="13"/>
    </row>
    <row r="61" spans="1:19" ht="26.25" customHeight="1" x14ac:dyDescent="0.2">
      <c r="A61" s="100"/>
      <c r="B61" s="24">
        <v>57</v>
      </c>
      <c r="C61" s="20" t="s">
        <v>40</v>
      </c>
      <c r="D61" s="21" t="s">
        <v>41</v>
      </c>
      <c r="E61" s="46">
        <v>38786</v>
      </c>
      <c r="F61" s="46">
        <v>38800</v>
      </c>
      <c r="G61" s="39">
        <v>14</v>
      </c>
      <c r="H61" s="39" t="s">
        <v>0</v>
      </c>
      <c r="I61" s="12">
        <v>5000000000</v>
      </c>
      <c r="J61" s="45">
        <v>0</v>
      </c>
      <c r="K61" s="12">
        <v>5000000000</v>
      </c>
      <c r="L61" s="12">
        <v>1682000000</v>
      </c>
      <c r="M61" s="12">
        <v>1695714824.0999999</v>
      </c>
      <c r="N61" s="45">
        <f t="shared" si="4"/>
        <v>0.33639999999999998</v>
      </c>
      <c r="O61" s="45">
        <v>0.21</v>
      </c>
      <c r="P61" s="45">
        <v>0.2097</v>
      </c>
      <c r="Q61" s="12">
        <v>27895548590</v>
      </c>
      <c r="R61" s="12">
        <v>28609791682.049988</v>
      </c>
      <c r="S61" s="13"/>
    </row>
    <row r="62" spans="1:19" ht="26.25" customHeight="1" x14ac:dyDescent="0.2">
      <c r="A62" s="100"/>
      <c r="B62" s="23">
        <v>58</v>
      </c>
      <c r="C62" s="20" t="s">
        <v>40</v>
      </c>
      <c r="D62" s="21" t="s">
        <v>41</v>
      </c>
      <c r="E62" s="38">
        <v>38791</v>
      </c>
      <c r="F62" s="38">
        <f>+E62+G62</f>
        <v>38852</v>
      </c>
      <c r="G62" s="36">
        <v>61</v>
      </c>
      <c r="H62" s="36" t="s">
        <v>0</v>
      </c>
      <c r="I62" s="9">
        <v>1000000000</v>
      </c>
      <c r="J62" s="43">
        <v>0</v>
      </c>
      <c r="K62" s="9">
        <v>1000000000</v>
      </c>
      <c r="L62" s="9">
        <v>899000000</v>
      </c>
      <c r="M62" s="9">
        <v>934567827.60000002</v>
      </c>
      <c r="N62" s="43">
        <f t="shared" si="4"/>
        <v>0.89900000000000002</v>
      </c>
      <c r="O62" s="43">
        <v>0.24</v>
      </c>
      <c r="P62" s="43">
        <v>0.23350000000000001</v>
      </c>
      <c r="Q62" s="9">
        <f>+Q61+L62-L12-L15-L49-L51</f>
        <v>26201061090</v>
      </c>
      <c r="R62" s="9">
        <f>+M62+R61-M12-M15-M49-M51</f>
        <v>26906721584.149986</v>
      </c>
      <c r="S62" s="13"/>
    </row>
    <row r="63" spans="1:19" ht="26.25" customHeight="1" x14ac:dyDescent="0.2">
      <c r="A63" s="100"/>
      <c r="B63" s="24">
        <v>59</v>
      </c>
      <c r="C63" s="20" t="s">
        <v>40</v>
      </c>
      <c r="D63" s="21" t="s">
        <v>41</v>
      </c>
      <c r="E63" s="46">
        <v>38791</v>
      </c>
      <c r="F63" s="46">
        <f>+E63+G63</f>
        <v>38805</v>
      </c>
      <c r="G63" s="39">
        <v>14</v>
      </c>
      <c r="H63" s="39" t="s">
        <v>0</v>
      </c>
      <c r="I63" s="12">
        <v>2000000000</v>
      </c>
      <c r="J63" s="45">
        <v>0</v>
      </c>
      <c r="K63" s="12">
        <v>2000000000</v>
      </c>
      <c r="L63" s="12">
        <v>675000000</v>
      </c>
      <c r="M63" s="12">
        <v>680488936.5</v>
      </c>
      <c r="N63" s="45">
        <f t="shared" si="4"/>
        <v>0.33750000000000002</v>
      </c>
      <c r="O63" s="45">
        <v>0.21</v>
      </c>
      <c r="P63" s="45">
        <v>0.20910000000000001</v>
      </c>
      <c r="Q63" s="12">
        <f>+Q62+L63</f>
        <v>26876061090</v>
      </c>
      <c r="R63" s="12">
        <f>+R62+M63</f>
        <v>27587210520.649986</v>
      </c>
      <c r="S63" s="13"/>
    </row>
    <row r="64" spans="1:19" ht="26.25" customHeight="1" x14ac:dyDescent="0.2">
      <c r="A64" s="100"/>
      <c r="B64" s="23">
        <v>60</v>
      </c>
      <c r="C64" s="20" t="s">
        <v>40</v>
      </c>
      <c r="D64" s="21" t="s">
        <v>41</v>
      </c>
      <c r="E64" s="38">
        <v>38793</v>
      </c>
      <c r="F64" s="38">
        <f>+E64+G64</f>
        <v>38853</v>
      </c>
      <c r="G64" s="36">
        <v>60</v>
      </c>
      <c r="H64" s="36" t="s">
        <v>0</v>
      </c>
      <c r="I64" s="9">
        <v>1500000000</v>
      </c>
      <c r="J64" s="43">
        <v>0</v>
      </c>
      <c r="K64" s="9">
        <v>1500000000</v>
      </c>
      <c r="L64" s="9">
        <v>885000000</v>
      </c>
      <c r="M64" s="9">
        <v>919675733.5</v>
      </c>
      <c r="N64" s="43">
        <f t="shared" si="4"/>
        <v>0.59</v>
      </c>
      <c r="O64" s="43">
        <v>0.24</v>
      </c>
      <c r="P64" s="43">
        <v>0.2351</v>
      </c>
      <c r="Q64" s="9">
        <f>+Q63+L64-L53</f>
        <v>24293061090</v>
      </c>
      <c r="R64" s="9">
        <f>+R63+M64-M53</f>
        <v>25010804981.249985</v>
      </c>
      <c r="S64" s="13"/>
    </row>
    <row r="65" spans="1:19" ht="26.25" customHeight="1" x14ac:dyDescent="0.2">
      <c r="A65" s="100"/>
      <c r="B65" s="24">
        <v>61</v>
      </c>
      <c r="C65" s="20" t="s">
        <v>40</v>
      </c>
      <c r="D65" s="21" t="s">
        <v>41</v>
      </c>
      <c r="E65" s="46">
        <v>38793</v>
      </c>
      <c r="F65" s="46">
        <f>+E65+G65</f>
        <v>38807</v>
      </c>
      <c r="G65" s="39">
        <v>14</v>
      </c>
      <c r="H65" s="39" t="s">
        <v>0</v>
      </c>
      <c r="I65" s="12">
        <v>3500000000</v>
      </c>
      <c r="J65" s="45">
        <v>0</v>
      </c>
      <c r="K65" s="12">
        <v>3500000000</v>
      </c>
      <c r="L65" s="12">
        <v>2055000000</v>
      </c>
      <c r="M65" s="12">
        <v>2071741810.5</v>
      </c>
      <c r="N65" s="45">
        <f t="shared" si="4"/>
        <v>0.58714285714285719</v>
      </c>
      <c r="O65" s="45">
        <v>0.21</v>
      </c>
      <c r="P65" s="45">
        <v>0.20949999999999999</v>
      </c>
      <c r="Q65" s="12">
        <f>+Q64+L65</f>
        <v>26348061090</v>
      </c>
      <c r="R65" s="12">
        <f>+R64+M65</f>
        <v>27082546791.749985</v>
      </c>
      <c r="S65" s="13"/>
    </row>
    <row r="66" spans="1:19" ht="26.25" customHeight="1" x14ac:dyDescent="0.2">
      <c r="A66" s="100"/>
      <c r="B66" s="23">
        <v>62</v>
      </c>
      <c r="C66" s="20" t="s">
        <v>40</v>
      </c>
      <c r="D66" s="21" t="s">
        <v>41</v>
      </c>
      <c r="E66" s="46">
        <v>38796</v>
      </c>
      <c r="F66" s="46">
        <v>38856</v>
      </c>
      <c r="G66" s="39">
        <v>60</v>
      </c>
      <c r="H66" s="39" t="s">
        <v>0</v>
      </c>
      <c r="I66" s="12">
        <v>1000000000</v>
      </c>
      <c r="J66" s="45">
        <v>0</v>
      </c>
      <c r="K66" s="12">
        <v>1000000000</v>
      </c>
      <c r="L66" s="12">
        <v>320000000</v>
      </c>
      <c r="M66" s="12">
        <v>332766165</v>
      </c>
      <c r="N66" s="45">
        <v>0.32</v>
      </c>
      <c r="O66" s="45">
        <v>0.24</v>
      </c>
      <c r="P66" s="45">
        <v>0.2394</v>
      </c>
      <c r="Q66" s="12">
        <v>25983293090</v>
      </c>
      <c r="R66" s="12">
        <v>26724979980.749985</v>
      </c>
      <c r="S66" s="13"/>
    </row>
    <row r="67" spans="1:19" ht="26.25" customHeight="1" x14ac:dyDescent="0.2">
      <c r="A67" s="100"/>
      <c r="B67" s="24">
        <v>63</v>
      </c>
      <c r="C67" s="20" t="s">
        <v>40</v>
      </c>
      <c r="D67" s="21" t="s">
        <v>41</v>
      </c>
      <c r="E67" s="46">
        <v>38796</v>
      </c>
      <c r="F67" s="46">
        <v>38810</v>
      </c>
      <c r="G67" s="39">
        <v>14</v>
      </c>
      <c r="H67" s="39" t="s">
        <v>0</v>
      </c>
      <c r="I67" s="12">
        <v>1000000000</v>
      </c>
      <c r="J67" s="45">
        <v>0</v>
      </c>
      <c r="K67" s="12">
        <v>1000000000</v>
      </c>
      <c r="L67" s="12">
        <v>970000000</v>
      </c>
      <c r="M67" s="12">
        <v>977905635.5</v>
      </c>
      <c r="N67" s="45">
        <v>0.97</v>
      </c>
      <c r="O67" s="45">
        <v>0.21</v>
      </c>
      <c r="P67" s="45">
        <v>0.20960000000000001</v>
      </c>
      <c r="Q67" s="12">
        <v>26953293090</v>
      </c>
      <c r="R67" s="12">
        <v>27702885616.249985</v>
      </c>
      <c r="S67" s="13"/>
    </row>
    <row r="68" spans="1:19" ht="26.25" customHeight="1" x14ac:dyDescent="0.2">
      <c r="A68" s="100"/>
      <c r="B68" s="23">
        <v>64</v>
      </c>
      <c r="C68" s="20" t="s">
        <v>40</v>
      </c>
      <c r="D68" s="21" t="s">
        <v>41</v>
      </c>
      <c r="E68" s="38">
        <v>38798</v>
      </c>
      <c r="F68" s="38">
        <v>38859</v>
      </c>
      <c r="G68" s="36">
        <v>61</v>
      </c>
      <c r="H68" s="36" t="s">
        <v>0</v>
      </c>
      <c r="I68" s="9">
        <v>2000000000</v>
      </c>
      <c r="J68" s="43">
        <v>0</v>
      </c>
      <c r="K68" s="9">
        <v>2000000000</v>
      </c>
      <c r="L68" s="9">
        <v>1630000000</v>
      </c>
      <c r="M68" s="9">
        <v>1695770351.0999999</v>
      </c>
      <c r="N68" s="43">
        <v>0.81499999999999995</v>
      </c>
      <c r="O68" s="43">
        <v>0.24</v>
      </c>
      <c r="P68" s="43">
        <v>0.23810000000000001</v>
      </c>
      <c r="Q68" s="9">
        <v>24525306590</v>
      </c>
      <c r="R68" s="9">
        <v>25270609703.349983</v>
      </c>
      <c r="S68" s="13"/>
    </row>
    <row r="69" spans="1:19" ht="26.25" customHeight="1" x14ac:dyDescent="0.2">
      <c r="A69" s="100"/>
      <c r="B69" s="24">
        <v>65</v>
      </c>
      <c r="C69" s="20" t="s">
        <v>40</v>
      </c>
      <c r="D69" s="21" t="s">
        <v>41</v>
      </c>
      <c r="E69" s="46">
        <v>38798</v>
      </c>
      <c r="F69" s="46">
        <v>38812</v>
      </c>
      <c r="G69" s="39">
        <v>14</v>
      </c>
      <c r="H69" s="39" t="s">
        <v>0</v>
      </c>
      <c r="I69" s="12">
        <v>4000000000</v>
      </c>
      <c r="J69" s="45">
        <v>0</v>
      </c>
      <c r="K69" s="12">
        <v>4000000000</v>
      </c>
      <c r="L69" s="12">
        <v>2900000000</v>
      </c>
      <c r="M69" s="12">
        <v>2923647948</v>
      </c>
      <c r="N69" s="45">
        <v>0.72499999999999998</v>
      </c>
      <c r="O69" s="45">
        <v>0.21</v>
      </c>
      <c r="P69" s="45">
        <v>0.2097</v>
      </c>
      <c r="Q69" s="12">
        <v>27425306590</v>
      </c>
      <c r="R69" s="12">
        <v>28194257651.349983</v>
      </c>
      <c r="S69" s="13"/>
    </row>
    <row r="70" spans="1:19" ht="26.25" customHeight="1" x14ac:dyDescent="0.2">
      <c r="A70" s="100"/>
      <c r="B70" s="23">
        <v>66</v>
      </c>
      <c r="C70" s="20" t="s">
        <v>40</v>
      </c>
      <c r="D70" s="21" t="s">
        <v>41</v>
      </c>
      <c r="E70" s="38">
        <v>38799</v>
      </c>
      <c r="F70" s="38">
        <v>38859</v>
      </c>
      <c r="G70" s="36">
        <v>60</v>
      </c>
      <c r="H70" s="36" t="s">
        <v>0</v>
      </c>
      <c r="I70" s="9">
        <v>1000000000</v>
      </c>
      <c r="J70" s="43">
        <v>0</v>
      </c>
      <c r="K70" s="9">
        <v>1000000000</v>
      </c>
      <c r="L70" s="9">
        <v>520000000</v>
      </c>
      <c r="M70" s="9">
        <v>540733320</v>
      </c>
      <c r="N70" s="43">
        <v>0.52</v>
      </c>
      <c r="O70" s="43">
        <v>0.24</v>
      </c>
      <c r="P70" s="43">
        <v>0.2392</v>
      </c>
      <c r="Q70" s="9">
        <v>26860306590</v>
      </c>
      <c r="R70" s="9">
        <v>27641166118.349983</v>
      </c>
      <c r="S70" s="13"/>
    </row>
    <row r="71" spans="1:19" ht="26.25" customHeight="1" x14ac:dyDescent="0.2">
      <c r="A71" s="100"/>
      <c r="B71" s="24">
        <v>67</v>
      </c>
      <c r="C71" s="20" t="s">
        <v>40</v>
      </c>
      <c r="D71" s="21" t="s">
        <v>41</v>
      </c>
      <c r="E71" s="46">
        <v>38799</v>
      </c>
      <c r="F71" s="46">
        <v>38813</v>
      </c>
      <c r="G71" s="39">
        <v>14</v>
      </c>
      <c r="H71" s="39" t="s">
        <v>0</v>
      </c>
      <c r="I71" s="12">
        <v>2000000000</v>
      </c>
      <c r="J71" s="45">
        <v>0</v>
      </c>
      <c r="K71" s="12">
        <v>2000000000</v>
      </c>
      <c r="L71" s="12">
        <v>1410000000</v>
      </c>
      <c r="M71" s="12">
        <v>1421507366</v>
      </c>
      <c r="N71" s="45">
        <v>0.70499999999999996</v>
      </c>
      <c r="O71" s="45">
        <v>0.21</v>
      </c>
      <c r="P71" s="45">
        <v>0.2099</v>
      </c>
      <c r="Q71" s="12">
        <v>28270306590</v>
      </c>
      <c r="R71" s="12">
        <v>29062673484.349983</v>
      </c>
      <c r="S71" s="13"/>
    </row>
    <row r="72" spans="1:19" ht="26.25" customHeight="1" x14ac:dyDescent="0.2">
      <c r="A72" s="100"/>
      <c r="B72" s="23">
        <v>68</v>
      </c>
      <c r="C72" s="20" t="s">
        <v>40</v>
      </c>
      <c r="D72" s="21" t="s">
        <v>41</v>
      </c>
      <c r="E72" s="38">
        <v>38800</v>
      </c>
      <c r="F72" s="38">
        <v>38860</v>
      </c>
      <c r="G72" s="36">
        <v>60</v>
      </c>
      <c r="H72" s="36" t="s">
        <v>0</v>
      </c>
      <c r="I72" s="9">
        <v>2500000000</v>
      </c>
      <c r="J72" s="43">
        <v>0</v>
      </c>
      <c r="K72" s="9">
        <v>2500000000</v>
      </c>
      <c r="L72" s="9">
        <v>550000000</v>
      </c>
      <c r="M72" s="9">
        <v>571959654</v>
      </c>
      <c r="N72" s="43">
        <v>0.22</v>
      </c>
      <c r="O72" s="43">
        <v>0.24</v>
      </c>
      <c r="P72" s="43">
        <v>0.23960000000000001</v>
      </c>
      <c r="Q72" s="9">
        <v>27138306590</v>
      </c>
      <c r="R72" s="9">
        <v>27938918314.249985</v>
      </c>
      <c r="S72" s="13"/>
    </row>
    <row r="73" spans="1:19" ht="26.25" customHeight="1" x14ac:dyDescent="0.2">
      <c r="A73" s="100"/>
      <c r="B73" s="23">
        <v>69</v>
      </c>
      <c r="C73" s="20" t="s">
        <v>40</v>
      </c>
      <c r="D73" s="21" t="s">
        <v>41</v>
      </c>
      <c r="E73" s="38">
        <v>38800</v>
      </c>
      <c r="F73" s="38">
        <v>38814</v>
      </c>
      <c r="G73" s="36">
        <v>14</v>
      </c>
      <c r="H73" s="36" t="s">
        <v>0</v>
      </c>
      <c r="I73" s="9">
        <v>4500000000</v>
      </c>
      <c r="J73" s="43">
        <v>0</v>
      </c>
      <c r="K73" s="9">
        <v>4500000000</v>
      </c>
      <c r="L73" s="9">
        <v>1512000000</v>
      </c>
      <c r="M73" s="9">
        <v>1524337142.5999999</v>
      </c>
      <c r="N73" s="43">
        <v>0.33600000000000002</v>
      </c>
      <c r="O73" s="43">
        <v>0.21</v>
      </c>
      <c r="P73" s="43">
        <v>0.20979999999999999</v>
      </c>
      <c r="Q73" s="9">
        <v>28650306590</v>
      </c>
      <c r="R73" s="9">
        <v>29463255456.849983</v>
      </c>
      <c r="S73" s="13"/>
    </row>
    <row r="74" spans="1:19" ht="26.25" customHeight="1" x14ac:dyDescent="0.2">
      <c r="A74" s="100"/>
      <c r="B74" s="23">
        <v>70</v>
      </c>
      <c r="C74" s="20" t="s">
        <v>40</v>
      </c>
      <c r="D74" s="21" t="s">
        <v>41</v>
      </c>
      <c r="E74" s="38">
        <v>38803</v>
      </c>
      <c r="F74" s="38">
        <v>38863</v>
      </c>
      <c r="G74" s="36">
        <v>60</v>
      </c>
      <c r="H74" s="36" t="s">
        <v>1</v>
      </c>
      <c r="I74" s="9">
        <v>1500000000</v>
      </c>
      <c r="J74" s="43">
        <v>3.4500000000000003E-2</v>
      </c>
      <c r="K74" s="9">
        <v>1551750000</v>
      </c>
      <c r="L74" s="9">
        <v>810013500</v>
      </c>
      <c r="M74" s="9">
        <v>842256849</v>
      </c>
      <c r="N74" s="43">
        <v>0.52200000000000002</v>
      </c>
      <c r="O74" s="43">
        <v>0.24</v>
      </c>
      <c r="P74" s="43">
        <v>0.23880000000000001</v>
      </c>
      <c r="Q74" s="9">
        <v>27776495090</v>
      </c>
      <c r="R74" s="9">
        <v>28559052437.849998</v>
      </c>
      <c r="S74" s="13"/>
    </row>
    <row r="75" spans="1:19" ht="26.25" customHeight="1" x14ac:dyDescent="0.2">
      <c r="A75" s="100"/>
      <c r="B75" s="24">
        <v>71</v>
      </c>
      <c r="C75" s="20" t="s">
        <v>40</v>
      </c>
      <c r="D75" s="21" t="s">
        <v>41</v>
      </c>
      <c r="E75" s="46">
        <v>38803</v>
      </c>
      <c r="F75" s="46">
        <v>38817</v>
      </c>
      <c r="G75" s="39">
        <v>14</v>
      </c>
      <c r="H75" s="39" t="s">
        <v>1</v>
      </c>
      <c r="I75" s="12">
        <v>2000000000</v>
      </c>
      <c r="J75" s="45">
        <v>2.4E-2</v>
      </c>
      <c r="K75" s="12">
        <v>2048000000</v>
      </c>
      <c r="L75" s="12">
        <v>547840000</v>
      </c>
      <c r="M75" s="12">
        <v>552310985</v>
      </c>
      <c r="N75" s="45">
        <v>0.26750000000000002</v>
      </c>
      <c r="O75" s="45">
        <v>0.21</v>
      </c>
      <c r="P75" s="45">
        <v>0.20979999999999999</v>
      </c>
      <c r="Q75" s="12">
        <v>28324335090</v>
      </c>
      <c r="R75" s="12">
        <v>29111363422.849998</v>
      </c>
      <c r="S75" s="13"/>
    </row>
    <row r="76" spans="1:19" ht="26.25" customHeight="1" x14ac:dyDescent="0.2">
      <c r="A76" s="100"/>
      <c r="B76" s="23">
        <v>72</v>
      </c>
      <c r="C76" s="20" t="s">
        <v>40</v>
      </c>
      <c r="D76" s="21" t="s">
        <v>41</v>
      </c>
      <c r="E76" s="38">
        <v>38805</v>
      </c>
      <c r="F76" s="38">
        <f>+E76+G76</f>
        <v>38863</v>
      </c>
      <c r="G76" s="36">
        <v>58</v>
      </c>
      <c r="H76" s="36" t="s">
        <v>1</v>
      </c>
      <c r="I76" s="9">
        <v>2000000000</v>
      </c>
      <c r="J76" s="43">
        <v>3.4500000000000003E-2</v>
      </c>
      <c r="K76" s="9">
        <v>2069000000</v>
      </c>
      <c r="L76" s="9">
        <v>2069000000</v>
      </c>
      <c r="M76" s="9">
        <v>2148784520</v>
      </c>
      <c r="N76" s="43">
        <f>L76/K76</f>
        <v>1</v>
      </c>
      <c r="O76" s="43">
        <v>0.24</v>
      </c>
      <c r="P76" s="43">
        <v>0.2394</v>
      </c>
      <c r="Q76" s="9">
        <f>+Q75+L76-L25-L63</f>
        <v>28517853500</v>
      </c>
      <c r="R76" s="9">
        <f>+R75+M76-M63-M25</f>
        <v>29333794407.299999</v>
      </c>
      <c r="S76" s="13"/>
    </row>
    <row r="77" spans="1:19" ht="26.25" customHeight="1" x14ac:dyDescent="0.2">
      <c r="A77" s="100"/>
      <c r="B77" s="24">
        <v>73</v>
      </c>
      <c r="C77" s="20" t="s">
        <v>40</v>
      </c>
      <c r="D77" s="21" t="s">
        <v>41</v>
      </c>
      <c r="E77" s="46">
        <v>38805</v>
      </c>
      <c r="F77" s="46">
        <v>38819</v>
      </c>
      <c r="G77" s="39">
        <v>14</v>
      </c>
      <c r="H77" s="39" t="s">
        <v>1</v>
      </c>
      <c r="I77" s="12">
        <v>3000000000</v>
      </c>
      <c r="J77" s="45">
        <v>2.4500000000000001E-2</v>
      </c>
      <c r="K77" s="12">
        <v>3073500000</v>
      </c>
      <c r="L77" s="12">
        <v>2506951500</v>
      </c>
      <c r="M77" s="12">
        <v>2527405981</v>
      </c>
      <c r="N77" s="45">
        <f>L77/K77</f>
        <v>0.81566666666666665</v>
      </c>
      <c r="O77" s="45">
        <v>0.21</v>
      </c>
      <c r="P77" s="45">
        <v>0.20979999999999999</v>
      </c>
      <c r="Q77" s="12">
        <f>+Q76+L77</f>
        <v>31024805000</v>
      </c>
      <c r="R77" s="12">
        <f>+R76+M77</f>
        <v>31861200388.299999</v>
      </c>
      <c r="S77" s="13"/>
    </row>
    <row r="78" spans="1:19" ht="26.25" customHeight="1" x14ac:dyDescent="0.2">
      <c r="A78" s="100"/>
      <c r="B78" s="23">
        <v>74</v>
      </c>
      <c r="C78" s="20" t="s">
        <v>40</v>
      </c>
      <c r="D78" s="21" t="s">
        <v>41</v>
      </c>
      <c r="E78" s="38">
        <v>38807</v>
      </c>
      <c r="F78" s="38">
        <f>+E78+G78</f>
        <v>38867</v>
      </c>
      <c r="G78" s="36">
        <v>60</v>
      </c>
      <c r="H78" s="36" t="s">
        <v>0</v>
      </c>
      <c r="I78" s="9">
        <v>2000000000</v>
      </c>
      <c r="J78" s="43">
        <v>0</v>
      </c>
      <c r="K78" s="9">
        <v>2000000000</v>
      </c>
      <c r="L78" s="9">
        <v>1321000000</v>
      </c>
      <c r="M78" s="9">
        <v>1373615589.5</v>
      </c>
      <c r="N78" s="43">
        <f>L78/K78</f>
        <v>0.66049999999999998</v>
      </c>
      <c r="O78" s="43">
        <v>0.24</v>
      </c>
      <c r="P78" s="43">
        <v>0.23899999999999999</v>
      </c>
      <c r="Q78" s="9">
        <f>+Q77+L78-L65</f>
        <v>30290805000</v>
      </c>
      <c r="R78" s="9">
        <f>+R77+M78-M65</f>
        <v>31163074167.299999</v>
      </c>
      <c r="S78" s="13"/>
    </row>
    <row r="79" spans="1:19" ht="26.25" customHeight="1" x14ac:dyDescent="0.2">
      <c r="A79" s="100"/>
      <c r="B79" s="24">
        <v>75</v>
      </c>
      <c r="C79" s="20" t="s">
        <v>40</v>
      </c>
      <c r="D79" s="21" t="s">
        <v>41</v>
      </c>
      <c r="E79" s="46">
        <v>38807</v>
      </c>
      <c r="F79" s="46">
        <f>+E79+G79</f>
        <v>38821</v>
      </c>
      <c r="G79" s="39">
        <v>14</v>
      </c>
      <c r="H79" s="39" t="s">
        <v>1</v>
      </c>
      <c r="I79" s="12">
        <v>3000000000</v>
      </c>
      <c r="J79" s="45">
        <v>2.5000000000000001E-2</v>
      </c>
      <c r="K79" s="12">
        <v>3075000000</v>
      </c>
      <c r="L79" s="12">
        <v>796220000</v>
      </c>
      <c r="M79" s="12">
        <v>802711770.39999998</v>
      </c>
      <c r="N79" s="45">
        <f>L79/K79</f>
        <v>0.25893333333333335</v>
      </c>
      <c r="O79" s="45">
        <v>0.21</v>
      </c>
      <c r="P79" s="45">
        <v>0.2097</v>
      </c>
      <c r="Q79" s="12">
        <f>+Q78+L79</f>
        <v>31087025000</v>
      </c>
      <c r="R79" s="12">
        <f>+R78+M79</f>
        <v>31965785937.700001</v>
      </c>
      <c r="S79" s="13"/>
    </row>
    <row r="80" spans="1:19" ht="26.25" customHeight="1" x14ac:dyDescent="0.2">
      <c r="A80" s="100"/>
      <c r="B80" s="23">
        <v>76</v>
      </c>
      <c r="C80" s="20" t="s">
        <v>40</v>
      </c>
      <c r="D80" s="21" t="s">
        <v>41</v>
      </c>
      <c r="E80" s="38">
        <v>38810</v>
      </c>
      <c r="F80" s="38">
        <v>38870</v>
      </c>
      <c r="G80" s="36">
        <v>60</v>
      </c>
      <c r="H80" s="36" t="s">
        <v>0</v>
      </c>
      <c r="I80" s="9">
        <v>1000000000</v>
      </c>
      <c r="J80" s="43">
        <v>0</v>
      </c>
      <c r="K80" s="9">
        <v>1000000000</v>
      </c>
      <c r="L80" s="9">
        <v>993000000</v>
      </c>
      <c r="M80" s="9">
        <v>1032462666</v>
      </c>
      <c r="N80" s="43">
        <v>0.99299999999999999</v>
      </c>
      <c r="O80" s="43">
        <v>0.2399</v>
      </c>
      <c r="P80" s="43">
        <v>0.2384</v>
      </c>
      <c r="Q80" s="9">
        <v>30110025000</v>
      </c>
      <c r="R80" s="9">
        <v>30983033612.900002</v>
      </c>
      <c r="S80" s="13"/>
    </row>
    <row r="81" spans="1:19" ht="26.25" customHeight="1" x14ac:dyDescent="0.2">
      <c r="A81" s="100"/>
      <c r="B81" s="24">
        <v>77</v>
      </c>
      <c r="C81" s="20" t="s">
        <v>40</v>
      </c>
      <c r="D81" s="21" t="s">
        <v>41</v>
      </c>
      <c r="E81" s="46">
        <v>38810</v>
      </c>
      <c r="F81" s="46">
        <v>38826</v>
      </c>
      <c r="G81" s="39">
        <v>16</v>
      </c>
      <c r="H81" s="39" t="s">
        <v>0</v>
      </c>
      <c r="I81" s="12">
        <v>1000000000</v>
      </c>
      <c r="J81" s="45">
        <v>0</v>
      </c>
      <c r="K81" s="12">
        <v>1000000000</v>
      </c>
      <c r="L81" s="12">
        <v>390000000</v>
      </c>
      <c r="M81" s="12">
        <v>393632704</v>
      </c>
      <c r="N81" s="45">
        <v>0.39</v>
      </c>
      <c r="O81" s="45">
        <v>0.21</v>
      </c>
      <c r="P81" s="45">
        <v>0.20960000000000001</v>
      </c>
      <c r="Q81" s="12">
        <v>30500025000</v>
      </c>
      <c r="R81" s="12">
        <v>31376666316.900002</v>
      </c>
      <c r="S81" s="13"/>
    </row>
    <row r="82" spans="1:19" ht="26.25" customHeight="1" x14ac:dyDescent="0.2">
      <c r="A82" s="100"/>
      <c r="B82" s="24">
        <v>78</v>
      </c>
      <c r="C82" s="20" t="s">
        <v>40</v>
      </c>
      <c r="D82" s="21" t="s">
        <v>41</v>
      </c>
      <c r="E82" s="46">
        <v>38812</v>
      </c>
      <c r="F82" s="46">
        <v>38870</v>
      </c>
      <c r="G82" s="39">
        <v>58</v>
      </c>
      <c r="H82" s="39" t="s">
        <v>0</v>
      </c>
      <c r="I82" s="12">
        <v>2000000000</v>
      </c>
      <c r="J82" s="45">
        <v>0</v>
      </c>
      <c r="K82" s="12">
        <v>2000000000</v>
      </c>
      <c r="L82" s="12">
        <v>2000000000</v>
      </c>
      <c r="M82" s="12">
        <v>2077011989.5</v>
      </c>
      <c r="N82" s="45">
        <v>1</v>
      </c>
      <c r="O82" s="45">
        <v>0.23949999999999999</v>
      </c>
      <c r="P82" s="45">
        <v>0.23899999999999999</v>
      </c>
      <c r="Q82" s="12">
        <v>28464025000</v>
      </c>
      <c r="R82" s="12">
        <v>29351047024.400002</v>
      </c>
      <c r="S82" s="13"/>
    </row>
    <row r="83" spans="1:19" ht="26.25" customHeight="1" x14ac:dyDescent="0.2">
      <c r="A83" s="100"/>
      <c r="B83" s="24">
        <v>79</v>
      </c>
      <c r="C83" s="86" t="s">
        <v>40</v>
      </c>
      <c r="D83" s="87" t="s">
        <v>41</v>
      </c>
      <c r="E83" s="46">
        <v>38812</v>
      </c>
      <c r="F83" s="46">
        <v>38826</v>
      </c>
      <c r="G83" s="39">
        <v>14</v>
      </c>
      <c r="H83" s="39" t="s">
        <v>0</v>
      </c>
      <c r="I83" s="12">
        <v>3000000000</v>
      </c>
      <c r="J83" s="45">
        <v>0</v>
      </c>
      <c r="K83" s="12">
        <v>3000000000</v>
      </c>
      <c r="L83" s="12">
        <v>1915000000</v>
      </c>
      <c r="M83" s="12">
        <v>1930610718.5</v>
      </c>
      <c r="N83" s="45">
        <v>0.63833333333333331</v>
      </c>
      <c r="O83" s="45">
        <v>0.21</v>
      </c>
      <c r="P83" s="45">
        <v>0.20960000000000001</v>
      </c>
      <c r="Q83" s="12">
        <v>30379025000</v>
      </c>
      <c r="R83" s="12">
        <v>31281657742.900002</v>
      </c>
      <c r="S83" s="13"/>
    </row>
    <row r="84" spans="1:19" ht="26.25" customHeight="1" x14ac:dyDescent="0.2">
      <c r="A84" s="100">
        <v>2006</v>
      </c>
      <c r="B84" s="23">
        <v>80</v>
      </c>
      <c r="C84" s="20" t="s">
        <v>40</v>
      </c>
      <c r="D84" s="21" t="s">
        <v>41</v>
      </c>
      <c r="E84" s="38">
        <v>38813</v>
      </c>
      <c r="F84" s="38">
        <f t="shared" ref="F84:F92" si="5">+E84+G84</f>
        <v>38875</v>
      </c>
      <c r="G84" s="36">
        <v>62</v>
      </c>
      <c r="H84" s="36" t="s">
        <v>0</v>
      </c>
      <c r="I84" s="9">
        <v>2000000000</v>
      </c>
      <c r="J84" s="43">
        <v>0</v>
      </c>
      <c r="K84" s="9">
        <v>2000000000</v>
      </c>
      <c r="L84" s="9">
        <v>1330000000</v>
      </c>
      <c r="M84" s="9">
        <v>1384782149</v>
      </c>
      <c r="N84" s="43">
        <f t="shared" ref="N84:N104" si="6">L84/K84</f>
        <v>0.66500000000000004</v>
      </c>
      <c r="O84" s="43">
        <v>0.24</v>
      </c>
      <c r="P84" s="43">
        <v>0.2392</v>
      </c>
      <c r="Q84" s="9">
        <f>Q83-1410000000+1330000000</f>
        <v>30299025000</v>
      </c>
      <c r="R84" s="9">
        <f>R83-1421507366+1384782149</f>
        <v>31244932525.900002</v>
      </c>
      <c r="S84" s="13"/>
    </row>
    <row r="85" spans="1:19" ht="26.25" customHeight="1" x14ac:dyDescent="0.2">
      <c r="A85" s="100"/>
      <c r="B85" s="25">
        <v>81</v>
      </c>
      <c r="C85" s="20" t="s">
        <v>40</v>
      </c>
      <c r="D85" s="21" t="s">
        <v>41</v>
      </c>
      <c r="E85" s="46">
        <v>38813</v>
      </c>
      <c r="F85" s="46">
        <f t="shared" si="5"/>
        <v>38827</v>
      </c>
      <c r="G85" s="39">
        <v>14</v>
      </c>
      <c r="H85" s="39" t="s">
        <v>0</v>
      </c>
      <c r="I85" s="12">
        <v>2000000000</v>
      </c>
      <c r="J85" s="45">
        <v>0</v>
      </c>
      <c r="K85" s="12">
        <v>2000000000</v>
      </c>
      <c r="L85" s="12">
        <v>890000000</v>
      </c>
      <c r="M85" s="12">
        <v>897252393</v>
      </c>
      <c r="N85" s="45">
        <f t="shared" si="6"/>
        <v>0.44500000000000001</v>
      </c>
      <c r="O85" s="45">
        <v>0.21</v>
      </c>
      <c r="P85" s="45">
        <v>0.20949999999999999</v>
      </c>
      <c r="Q85" s="12">
        <f>Q84+890000000</f>
        <v>31189025000</v>
      </c>
      <c r="R85" s="12">
        <f>R84+897252393</f>
        <v>32142184918.900002</v>
      </c>
      <c r="S85" s="13"/>
    </row>
    <row r="86" spans="1:19" ht="26.25" customHeight="1" x14ac:dyDescent="0.2">
      <c r="A86" s="100"/>
      <c r="B86" s="24">
        <v>82</v>
      </c>
      <c r="C86" s="20" t="s">
        <v>40</v>
      </c>
      <c r="D86" s="21" t="s">
        <v>41</v>
      </c>
      <c r="E86" s="46">
        <v>38814</v>
      </c>
      <c r="F86" s="38">
        <f t="shared" si="5"/>
        <v>38875</v>
      </c>
      <c r="G86" s="36">
        <v>61</v>
      </c>
      <c r="H86" s="39" t="s">
        <v>0</v>
      </c>
      <c r="I86" s="12">
        <v>2500000000</v>
      </c>
      <c r="J86" s="45">
        <v>0</v>
      </c>
      <c r="K86" s="12">
        <v>2500000000</v>
      </c>
      <c r="L86" s="12">
        <v>805000000</v>
      </c>
      <c r="M86" s="12">
        <v>837592462.5</v>
      </c>
      <c r="N86" s="45">
        <f t="shared" si="6"/>
        <v>0.32200000000000001</v>
      </c>
      <c r="O86" s="43">
        <v>0.24</v>
      </c>
      <c r="P86" s="43">
        <v>0.2389</v>
      </c>
      <c r="Q86" s="9">
        <f>Q85-1512000000</f>
        <v>29677025000</v>
      </c>
      <c r="R86" s="9">
        <f>R85-1524337142.6</f>
        <v>30617847776.300003</v>
      </c>
      <c r="S86" s="13"/>
    </row>
    <row r="87" spans="1:19" ht="26.25" customHeight="1" x14ac:dyDescent="0.2">
      <c r="A87" s="100"/>
      <c r="B87" s="23">
        <v>83</v>
      </c>
      <c r="C87" s="20" t="s">
        <v>40</v>
      </c>
      <c r="D87" s="21" t="s">
        <v>41</v>
      </c>
      <c r="E87" s="38">
        <v>38814</v>
      </c>
      <c r="F87" s="38">
        <f t="shared" si="5"/>
        <v>38827</v>
      </c>
      <c r="G87" s="36">
        <v>13</v>
      </c>
      <c r="H87" s="36" t="s">
        <v>0</v>
      </c>
      <c r="I87" s="9">
        <v>3000000000</v>
      </c>
      <c r="J87" s="43">
        <v>0</v>
      </c>
      <c r="K87" s="9">
        <v>3000000000</v>
      </c>
      <c r="L87" s="9">
        <v>1210000000</v>
      </c>
      <c r="M87" s="9">
        <v>1219163173</v>
      </c>
      <c r="N87" s="43">
        <f t="shared" si="6"/>
        <v>0.40333333333333332</v>
      </c>
      <c r="O87" s="43">
        <v>0.21</v>
      </c>
      <c r="P87" s="43">
        <v>0.2097</v>
      </c>
      <c r="Q87" s="9">
        <f>Q86+1210000000+805000000</f>
        <v>31692025000</v>
      </c>
      <c r="R87" s="9">
        <f>R86+837592462.5+1219163173</f>
        <v>32674603411.800003</v>
      </c>
      <c r="S87" s="13"/>
    </row>
    <row r="88" spans="1:19" ht="26.25" customHeight="1" x14ac:dyDescent="0.2">
      <c r="A88" s="100"/>
      <c r="B88" s="24">
        <v>84</v>
      </c>
      <c r="C88" s="20" t="s">
        <v>40</v>
      </c>
      <c r="D88" s="21" t="s">
        <v>41</v>
      </c>
      <c r="E88" s="46">
        <v>38817</v>
      </c>
      <c r="F88" s="46">
        <f t="shared" si="5"/>
        <v>38833</v>
      </c>
      <c r="G88" s="39">
        <v>16</v>
      </c>
      <c r="H88" s="39" t="s">
        <v>0</v>
      </c>
      <c r="I88" s="12">
        <v>2000000000</v>
      </c>
      <c r="J88" s="45">
        <v>0</v>
      </c>
      <c r="K88" s="12">
        <v>2000000000</v>
      </c>
      <c r="L88" s="12">
        <v>380000000</v>
      </c>
      <c r="M88" s="12">
        <v>383540231</v>
      </c>
      <c r="N88" s="45">
        <f t="shared" si="6"/>
        <v>0.19</v>
      </c>
      <c r="O88" s="45">
        <v>0.21</v>
      </c>
      <c r="P88" s="45">
        <v>0.20960000000000001</v>
      </c>
      <c r="Q88" s="12">
        <f>31692025000-L33-L75+380000000</f>
        <v>30881285000</v>
      </c>
      <c r="R88" s="12">
        <f>32674603411.8-M33-M75+383540231</f>
        <v>31838512706.299999</v>
      </c>
      <c r="S88" s="13"/>
    </row>
    <row r="89" spans="1:19" ht="26.25" customHeight="1" x14ac:dyDescent="0.2">
      <c r="A89" s="100"/>
      <c r="B89" s="23">
        <v>85</v>
      </c>
      <c r="C89" s="20" t="s">
        <v>40</v>
      </c>
      <c r="D89" s="21" t="s">
        <v>41</v>
      </c>
      <c r="E89" s="38">
        <v>38819</v>
      </c>
      <c r="F89" s="38">
        <f t="shared" si="5"/>
        <v>38877</v>
      </c>
      <c r="G89" s="36">
        <v>58</v>
      </c>
      <c r="H89" s="36" t="s">
        <v>0</v>
      </c>
      <c r="I89" s="9">
        <v>1000000000</v>
      </c>
      <c r="J89" s="43">
        <v>0</v>
      </c>
      <c r="K89" s="9">
        <v>1000000000</v>
      </c>
      <c r="L89" s="9">
        <v>1000000000</v>
      </c>
      <c r="M89" s="9">
        <v>1038467548</v>
      </c>
      <c r="N89" s="43">
        <f t="shared" si="6"/>
        <v>1</v>
      </c>
      <c r="O89" s="43">
        <v>0.23899999999999999</v>
      </c>
      <c r="P89" s="43">
        <v>0.23880000000000001</v>
      </c>
      <c r="Q89" s="9">
        <v>28966333500</v>
      </c>
      <c r="R89" s="9">
        <v>29926100678.200001</v>
      </c>
      <c r="S89" s="13"/>
    </row>
    <row r="90" spans="1:19" ht="26.25" customHeight="1" x14ac:dyDescent="0.2">
      <c r="A90" s="100"/>
      <c r="B90" s="24">
        <v>86</v>
      </c>
      <c r="C90" s="20" t="s">
        <v>40</v>
      </c>
      <c r="D90" s="21" t="s">
        <v>41</v>
      </c>
      <c r="E90" s="46">
        <v>38819</v>
      </c>
      <c r="F90" s="46">
        <f t="shared" si="5"/>
        <v>38833</v>
      </c>
      <c r="G90" s="39">
        <v>14</v>
      </c>
      <c r="H90" s="39" t="s">
        <v>0</v>
      </c>
      <c r="I90" s="12">
        <v>2000000000</v>
      </c>
      <c r="J90" s="45">
        <v>0</v>
      </c>
      <c r="K90" s="12">
        <v>2000000000</v>
      </c>
      <c r="L90" s="12">
        <v>2000000000</v>
      </c>
      <c r="M90" s="12">
        <v>2016291642.5</v>
      </c>
      <c r="N90" s="45">
        <f t="shared" si="6"/>
        <v>1</v>
      </c>
      <c r="O90" s="45">
        <v>0.21</v>
      </c>
      <c r="P90" s="45">
        <v>0.20949999999999999</v>
      </c>
      <c r="Q90" s="12">
        <v>30966333500</v>
      </c>
      <c r="R90" s="12">
        <v>31942392320.700001</v>
      </c>
      <c r="S90" s="13"/>
    </row>
    <row r="91" spans="1:19" ht="26.25" customHeight="1" x14ac:dyDescent="0.2">
      <c r="A91" s="100"/>
      <c r="B91" s="23">
        <v>87</v>
      </c>
      <c r="C91" s="20" t="s">
        <v>40</v>
      </c>
      <c r="D91" s="21" t="s">
        <v>41</v>
      </c>
      <c r="E91" s="38">
        <v>38821</v>
      </c>
      <c r="F91" s="38">
        <f t="shared" si="5"/>
        <v>38882</v>
      </c>
      <c r="G91" s="36">
        <v>61</v>
      </c>
      <c r="H91" s="36" t="s">
        <v>0</v>
      </c>
      <c r="I91" s="9">
        <v>1000000000</v>
      </c>
      <c r="J91" s="43">
        <v>0</v>
      </c>
      <c r="K91" s="9">
        <v>1000000000</v>
      </c>
      <c r="L91" s="9">
        <v>960000000</v>
      </c>
      <c r="M91" s="9">
        <v>998892924.5</v>
      </c>
      <c r="N91" s="43">
        <f t="shared" si="6"/>
        <v>0.96</v>
      </c>
      <c r="O91" s="43">
        <v>0.24</v>
      </c>
      <c r="P91" s="43">
        <v>0.23910000000000001</v>
      </c>
      <c r="Q91" s="9">
        <v>31130113500</v>
      </c>
      <c r="R91" s="9">
        <v>32138573474.799999</v>
      </c>
      <c r="S91" s="13"/>
    </row>
    <row r="92" spans="1:19" ht="26.25" customHeight="1" x14ac:dyDescent="0.2">
      <c r="A92" s="100"/>
      <c r="B92" s="23">
        <v>88</v>
      </c>
      <c r="C92" s="20" t="s">
        <v>40</v>
      </c>
      <c r="D92" s="21" t="s">
        <v>41</v>
      </c>
      <c r="E92" s="38">
        <v>38821</v>
      </c>
      <c r="F92" s="38">
        <f t="shared" si="5"/>
        <v>38835</v>
      </c>
      <c r="G92" s="36">
        <v>14</v>
      </c>
      <c r="H92" s="36" t="s">
        <v>0</v>
      </c>
      <c r="I92" s="9">
        <v>1500000000</v>
      </c>
      <c r="J92" s="43">
        <v>0</v>
      </c>
      <c r="K92" s="9">
        <v>1500000000</v>
      </c>
      <c r="L92" s="9">
        <v>730000000</v>
      </c>
      <c r="M92" s="9">
        <v>735950976</v>
      </c>
      <c r="N92" s="43">
        <f t="shared" si="6"/>
        <v>0.48666666666666669</v>
      </c>
      <c r="O92" s="43">
        <v>0.21</v>
      </c>
      <c r="P92" s="43">
        <v>0.20960000000000001</v>
      </c>
      <c r="Q92" s="9">
        <v>31860113500</v>
      </c>
      <c r="R92" s="9">
        <v>32874524450.799999</v>
      </c>
      <c r="S92" s="13"/>
    </row>
    <row r="93" spans="1:19" ht="26.25" customHeight="1" x14ac:dyDescent="0.2">
      <c r="A93" s="100"/>
      <c r="B93" s="22">
        <v>89</v>
      </c>
      <c r="C93" s="20" t="s">
        <v>40</v>
      </c>
      <c r="D93" s="21" t="s">
        <v>41</v>
      </c>
      <c r="E93" s="31">
        <v>38826</v>
      </c>
      <c r="F93" s="31">
        <f t="shared" ref="F93:F104" si="7">+E93+G93</f>
        <v>38884</v>
      </c>
      <c r="G93" s="32">
        <v>58</v>
      </c>
      <c r="H93" s="32" t="s">
        <v>0</v>
      </c>
      <c r="I93" s="16">
        <v>1500000000</v>
      </c>
      <c r="J93" s="68">
        <v>0</v>
      </c>
      <c r="K93" s="16">
        <v>1500000000</v>
      </c>
      <c r="L93" s="16">
        <v>1500000000</v>
      </c>
      <c r="M93" s="16">
        <v>1557629116</v>
      </c>
      <c r="N93" s="68">
        <f t="shared" si="6"/>
        <v>1</v>
      </c>
      <c r="O93" s="68">
        <v>0.23899999999999999</v>
      </c>
      <c r="P93" s="68">
        <v>0.23849999999999999</v>
      </c>
      <c r="Q93" s="16">
        <f>Q92-1000000000-2305000000+L93</f>
        <v>30055113500</v>
      </c>
      <c r="R93" s="16">
        <f>R92-1037769821.6-2324243422.5+M93</f>
        <v>31070140322.700001</v>
      </c>
      <c r="S93" s="13"/>
    </row>
    <row r="94" spans="1:19" ht="26.25" customHeight="1" x14ac:dyDescent="0.2">
      <c r="A94" s="100"/>
      <c r="B94" s="25">
        <v>90</v>
      </c>
      <c r="C94" s="20" t="s">
        <v>40</v>
      </c>
      <c r="D94" s="21" t="s">
        <v>41</v>
      </c>
      <c r="E94" s="44">
        <v>38826</v>
      </c>
      <c r="F94" s="46">
        <f t="shared" si="7"/>
        <v>38840</v>
      </c>
      <c r="G94" s="39">
        <v>14</v>
      </c>
      <c r="H94" s="51" t="s">
        <v>0</v>
      </c>
      <c r="I94" s="14">
        <v>2500000000</v>
      </c>
      <c r="J94" s="52">
        <v>0</v>
      </c>
      <c r="K94" s="14">
        <v>2500000000</v>
      </c>
      <c r="L94" s="12">
        <v>2500000000</v>
      </c>
      <c r="M94" s="12">
        <v>2520267626.0999999</v>
      </c>
      <c r="N94" s="45">
        <f t="shared" si="6"/>
        <v>1</v>
      </c>
      <c r="O94" s="45">
        <v>0.21</v>
      </c>
      <c r="P94" s="45">
        <v>0.20849999999999999</v>
      </c>
      <c r="Q94" s="12">
        <f>Q93+L94</f>
        <v>32555113500</v>
      </c>
      <c r="R94" s="12">
        <f>R93+M94</f>
        <v>33590407948.799999</v>
      </c>
      <c r="S94" s="13"/>
    </row>
    <row r="95" spans="1:19" ht="26.25" customHeight="1" x14ac:dyDescent="0.2">
      <c r="A95" s="100"/>
      <c r="B95" s="23">
        <v>91</v>
      </c>
      <c r="C95" s="20" t="s">
        <v>40</v>
      </c>
      <c r="D95" s="21" t="s">
        <v>41</v>
      </c>
      <c r="E95" s="38">
        <v>38827</v>
      </c>
      <c r="F95" s="38">
        <f t="shared" si="7"/>
        <v>38889</v>
      </c>
      <c r="G95" s="36">
        <v>62</v>
      </c>
      <c r="H95" s="36" t="s">
        <v>0</v>
      </c>
      <c r="I95" s="9">
        <v>3000000000</v>
      </c>
      <c r="J95" s="43">
        <v>0</v>
      </c>
      <c r="K95" s="9">
        <v>3000000000</v>
      </c>
      <c r="L95" s="9">
        <v>1770000000</v>
      </c>
      <c r="M95" s="9">
        <v>1842571317</v>
      </c>
      <c r="N95" s="43">
        <f t="shared" si="6"/>
        <v>0.59</v>
      </c>
      <c r="O95" s="43">
        <v>0.24</v>
      </c>
      <c r="P95" s="43">
        <v>0.23810000000000001</v>
      </c>
      <c r="Q95" s="9">
        <f>Q94-2100000000+1770000000</f>
        <v>32225113500</v>
      </c>
      <c r="R95" s="9">
        <f>R94+1842571317-2116415566</f>
        <v>33316563699.800003</v>
      </c>
      <c r="S95" s="13"/>
    </row>
    <row r="96" spans="1:19" ht="26.25" customHeight="1" x14ac:dyDescent="0.2">
      <c r="A96" s="100"/>
      <c r="B96" s="24">
        <v>92</v>
      </c>
      <c r="C96" s="20" t="s">
        <v>40</v>
      </c>
      <c r="D96" s="21" t="s">
        <v>41</v>
      </c>
      <c r="E96" s="46">
        <v>38827</v>
      </c>
      <c r="F96" s="46">
        <f t="shared" si="7"/>
        <v>38842</v>
      </c>
      <c r="G96" s="39">
        <v>15</v>
      </c>
      <c r="H96" s="39" t="s">
        <v>1</v>
      </c>
      <c r="I96" s="12">
        <v>3000000000</v>
      </c>
      <c r="J96" s="45">
        <v>0.03</v>
      </c>
      <c r="K96" s="12">
        <v>3090000000</v>
      </c>
      <c r="L96" s="12">
        <v>1823100000</v>
      </c>
      <c r="M96" s="12">
        <v>1839009340</v>
      </c>
      <c r="N96" s="45">
        <f t="shared" si="6"/>
        <v>0.59</v>
      </c>
      <c r="O96" s="45">
        <v>0.21</v>
      </c>
      <c r="P96" s="45">
        <v>0.2094</v>
      </c>
      <c r="Q96" s="12">
        <f>Q95+L96</f>
        <v>34048213500</v>
      </c>
      <c r="R96" s="12">
        <f>R95+M96</f>
        <v>35155573039.800003</v>
      </c>
      <c r="S96" s="13"/>
    </row>
    <row r="97" spans="1:19" ht="26.25" customHeight="1" x14ac:dyDescent="0.2">
      <c r="A97" s="100"/>
      <c r="B97" s="23">
        <v>93</v>
      </c>
      <c r="C97" s="20" t="s">
        <v>40</v>
      </c>
      <c r="D97" s="21" t="s">
        <v>41</v>
      </c>
      <c r="E97" s="38">
        <v>38833</v>
      </c>
      <c r="F97" s="38">
        <f t="shared" si="7"/>
        <v>38891</v>
      </c>
      <c r="G97" s="36">
        <v>58</v>
      </c>
      <c r="H97" s="36" t="s">
        <v>0</v>
      </c>
      <c r="I97" s="9">
        <v>3000000000</v>
      </c>
      <c r="J97" s="43">
        <v>0</v>
      </c>
      <c r="K97" s="9">
        <v>3000000000</v>
      </c>
      <c r="L97" s="9">
        <v>2090000000</v>
      </c>
      <c r="M97" s="9">
        <v>2170407321</v>
      </c>
      <c r="N97" s="43">
        <f t="shared" si="6"/>
        <v>0.69666666666666666</v>
      </c>
      <c r="O97" s="43">
        <v>0.24</v>
      </c>
      <c r="P97" s="43">
        <v>0.23880000000000001</v>
      </c>
      <c r="Q97" s="9">
        <f>+Q96+L97-L90-L88-L47-L43</f>
        <v>32443213500</v>
      </c>
      <c r="R97" s="9">
        <f>+R96+M97-M90-M88-M47-M43</f>
        <v>33561178296.300003</v>
      </c>
      <c r="S97" s="13"/>
    </row>
    <row r="98" spans="1:19" ht="26.25" customHeight="1" x14ac:dyDescent="0.2">
      <c r="A98" s="100"/>
      <c r="B98" s="24">
        <v>94</v>
      </c>
      <c r="C98" s="20" t="s">
        <v>40</v>
      </c>
      <c r="D98" s="21" t="s">
        <v>41</v>
      </c>
      <c r="E98" s="46">
        <v>38833</v>
      </c>
      <c r="F98" s="46">
        <f t="shared" si="7"/>
        <v>38847</v>
      </c>
      <c r="G98" s="39">
        <v>14</v>
      </c>
      <c r="H98" s="39" t="s">
        <v>0</v>
      </c>
      <c r="I98" s="12">
        <v>3000000000</v>
      </c>
      <c r="J98" s="45">
        <v>0</v>
      </c>
      <c r="K98" s="12">
        <v>3000000000</v>
      </c>
      <c r="L98" s="12">
        <v>2774000000</v>
      </c>
      <c r="M98" s="12">
        <v>2796605500.1999998</v>
      </c>
      <c r="N98" s="45">
        <f t="shared" si="6"/>
        <v>0.92466666666666664</v>
      </c>
      <c r="O98" s="45">
        <v>0.21</v>
      </c>
      <c r="P98" s="45">
        <v>0.20949999999999999</v>
      </c>
      <c r="Q98" s="12">
        <f>+Q97+L98</f>
        <v>35217213500</v>
      </c>
      <c r="R98" s="12">
        <f>+R97+M98</f>
        <v>36357783796.5</v>
      </c>
      <c r="S98" s="13"/>
    </row>
    <row r="99" spans="1:19" ht="26.25" customHeight="1" x14ac:dyDescent="0.2">
      <c r="A99" s="100"/>
      <c r="B99" s="23">
        <v>95</v>
      </c>
      <c r="C99" s="20" t="s">
        <v>40</v>
      </c>
      <c r="D99" s="21" t="s">
        <v>41</v>
      </c>
      <c r="E99" s="38">
        <v>38835</v>
      </c>
      <c r="F99" s="38">
        <f t="shared" si="7"/>
        <v>38896</v>
      </c>
      <c r="G99" s="36">
        <v>61</v>
      </c>
      <c r="H99" s="36" t="s">
        <v>0</v>
      </c>
      <c r="I99" s="9">
        <v>2000000000</v>
      </c>
      <c r="J99" s="43">
        <v>0</v>
      </c>
      <c r="K99" s="9">
        <v>2000000000</v>
      </c>
      <c r="L99" s="9">
        <v>945000000</v>
      </c>
      <c r="M99" s="9">
        <v>983242533</v>
      </c>
      <c r="N99" s="43">
        <f t="shared" si="6"/>
        <v>0.47249999999999998</v>
      </c>
      <c r="O99" s="43">
        <v>0.24</v>
      </c>
      <c r="P99" s="43">
        <v>0.23880000000000001</v>
      </c>
      <c r="Q99" s="9">
        <f>+Q98+L99-L92-L50</f>
        <v>34952213500</v>
      </c>
      <c r="R99" s="9">
        <f>+R98+M99-M92-M50</f>
        <v>36107450282.5</v>
      </c>
      <c r="S99" s="13"/>
    </row>
    <row r="100" spans="1:19" ht="26.25" customHeight="1" x14ac:dyDescent="0.2">
      <c r="A100" s="100"/>
      <c r="B100" s="24">
        <v>96</v>
      </c>
      <c r="C100" s="20" t="s">
        <v>40</v>
      </c>
      <c r="D100" s="21" t="s">
        <v>41</v>
      </c>
      <c r="E100" s="46">
        <v>38835</v>
      </c>
      <c r="F100" s="46">
        <f t="shared" si="7"/>
        <v>38849</v>
      </c>
      <c r="G100" s="39">
        <v>14</v>
      </c>
      <c r="H100" s="39" t="s">
        <v>1</v>
      </c>
      <c r="I100" s="12">
        <v>3000000000</v>
      </c>
      <c r="J100" s="45">
        <v>3.15E-2</v>
      </c>
      <c r="K100" s="12">
        <v>3094500000</v>
      </c>
      <c r="L100" s="12">
        <v>1752518500</v>
      </c>
      <c r="M100" s="12">
        <v>1766794276</v>
      </c>
      <c r="N100" s="45">
        <f t="shared" si="6"/>
        <v>0.56633333333333336</v>
      </c>
      <c r="O100" s="45">
        <v>0.21</v>
      </c>
      <c r="P100" s="45">
        <v>0.20949999999999999</v>
      </c>
      <c r="Q100" s="12">
        <f>+Q99+L100</f>
        <v>36704732000</v>
      </c>
      <c r="R100" s="12">
        <f>+R99+M100</f>
        <v>37874244558.5</v>
      </c>
      <c r="S100" s="13"/>
    </row>
    <row r="101" spans="1:19" ht="26.25" customHeight="1" x14ac:dyDescent="0.2">
      <c r="A101" s="100"/>
      <c r="B101" s="23">
        <v>97</v>
      </c>
      <c r="C101" s="20" t="s">
        <v>40</v>
      </c>
      <c r="D101" s="21" t="s">
        <v>41</v>
      </c>
      <c r="E101" s="38">
        <v>38840</v>
      </c>
      <c r="F101" s="38">
        <f t="shared" si="7"/>
        <v>38898</v>
      </c>
      <c r="G101" s="36">
        <v>58</v>
      </c>
      <c r="H101" s="36" t="s">
        <v>0</v>
      </c>
      <c r="I101" s="9">
        <v>2000000000</v>
      </c>
      <c r="J101" s="43">
        <v>0</v>
      </c>
      <c r="K101" s="9">
        <v>2000000000</v>
      </c>
      <c r="L101" s="9">
        <v>1490000000</v>
      </c>
      <c r="M101" s="9">
        <v>1547262593</v>
      </c>
      <c r="N101" s="43">
        <f t="shared" si="6"/>
        <v>0.745</v>
      </c>
      <c r="O101" s="43">
        <v>0.2399</v>
      </c>
      <c r="P101" s="43">
        <v>0.23849999999999999</v>
      </c>
      <c r="Q101" s="9">
        <f>Q100-1500000000+1490000000-2500000000</f>
        <v>34194732000</v>
      </c>
      <c r="R101" s="9">
        <f>R100-1556833482+1547262593-2520267626.1</f>
        <v>35344406043.400002</v>
      </c>
      <c r="S101" s="13"/>
    </row>
    <row r="102" spans="1:19" ht="26.25" customHeight="1" x14ac:dyDescent="0.2">
      <c r="A102" s="100"/>
      <c r="B102" s="24">
        <v>98</v>
      </c>
      <c r="C102" s="20" t="s">
        <v>40</v>
      </c>
      <c r="D102" s="21" t="s">
        <v>41</v>
      </c>
      <c r="E102" s="46">
        <v>38840</v>
      </c>
      <c r="F102" s="46">
        <f t="shared" si="7"/>
        <v>38854</v>
      </c>
      <c r="G102" s="39">
        <v>14</v>
      </c>
      <c r="H102" s="39" t="s">
        <v>0</v>
      </c>
      <c r="I102" s="12">
        <v>2500000000</v>
      </c>
      <c r="J102" s="45">
        <v>0</v>
      </c>
      <c r="K102" s="12">
        <v>2500000000</v>
      </c>
      <c r="L102" s="12">
        <v>2500000000</v>
      </c>
      <c r="M102" s="12">
        <v>2520343799</v>
      </c>
      <c r="N102" s="45">
        <f t="shared" si="6"/>
        <v>1</v>
      </c>
      <c r="O102" s="45">
        <v>0.21</v>
      </c>
      <c r="P102" s="45">
        <v>0.20930000000000001</v>
      </c>
      <c r="Q102" s="12">
        <f>Q101+2500000000</f>
        <v>36694732000</v>
      </c>
      <c r="R102" s="12">
        <f>R101+2520343799</f>
        <v>37864749842.400002</v>
      </c>
      <c r="S102" s="13"/>
    </row>
    <row r="103" spans="1:19" ht="26.25" customHeight="1" x14ac:dyDescent="0.2">
      <c r="A103" s="100"/>
      <c r="B103" s="23">
        <v>99</v>
      </c>
      <c r="C103" s="20" t="s">
        <v>40</v>
      </c>
      <c r="D103" s="21" t="s">
        <v>41</v>
      </c>
      <c r="E103" s="69">
        <v>38842</v>
      </c>
      <c r="F103" s="38">
        <f t="shared" si="7"/>
        <v>38903</v>
      </c>
      <c r="G103" s="70">
        <v>61</v>
      </c>
      <c r="H103" s="36" t="s">
        <v>1</v>
      </c>
      <c r="I103" s="9">
        <v>3000000000</v>
      </c>
      <c r="J103" s="43">
        <v>4.3999999999999997E-2</v>
      </c>
      <c r="K103" s="71">
        <v>3132000000</v>
      </c>
      <c r="L103" s="9">
        <v>3132000000</v>
      </c>
      <c r="M103" s="9">
        <v>3258760190</v>
      </c>
      <c r="N103" s="43">
        <f t="shared" si="6"/>
        <v>1</v>
      </c>
      <c r="O103" s="43">
        <v>0.23949999999999999</v>
      </c>
      <c r="P103" s="43">
        <v>0.2389</v>
      </c>
      <c r="Q103" s="9">
        <f>Q102-1333850000-1823100000+3132000000</f>
        <v>36669782000</v>
      </c>
      <c r="R103" s="9">
        <f>R102-1384990830-1839009340+3258760190</f>
        <v>37899509862.400002</v>
      </c>
      <c r="S103" s="13"/>
    </row>
    <row r="104" spans="1:19" ht="26.25" customHeight="1" x14ac:dyDescent="0.2">
      <c r="A104" s="100"/>
      <c r="B104" s="24">
        <v>100</v>
      </c>
      <c r="C104" s="20" t="s">
        <v>40</v>
      </c>
      <c r="D104" s="21" t="s">
        <v>41</v>
      </c>
      <c r="E104" s="72">
        <v>38842</v>
      </c>
      <c r="F104" s="46">
        <f t="shared" si="7"/>
        <v>38856</v>
      </c>
      <c r="G104" s="73">
        <v>14</v>
      </c>
      <c r="H104" s="39" t="s">
        <v>1</v>
      </c>
      <c r="I104" s="12">
        <v>4000000000</v>
      </c>
      <c r="J104" s="45">
        <v>3.3000000000000002E-2</v>
      </c>
      <c r="K104" s="74">
        <v>4132000000</v>
      </c>
      <c r="L104" s="12">
        <v>3569015000</v>
      </c>
      <c r="M104" s="12">
        <v>3598052330</v>
      </c>
      <c r="N104" s="45">
        <f t="shared" si="6"/>
        <v>0.86375000000000002</v>
      </c>
      <c r="O104" s="45">
        <v>0.21</v>
      </c>
      <c r="P104" s="45">
        <v>0.2092</v>
      </c>
      <c r="Q104" s="12">
        <f>Q103+L104</f>
        <v>40238797000</v>
      </c>
      <c r="R104" s="12">
        <f>R103+M104</f>
        <v>41497562192.400002</v>
      </c>
      <c r="S104" s="13"/>
    </row>
    <row r="105" spans="1:19" ht="26.25" customHeight="1" x14ac:dyDescent="0.2">
      <c r="A105" s="100"/>
      <c r="B105" s="23">
        <v>101</v>
      </c>
      <c r="C105" s="20" t="s">
        <v>40</v>
      </c>
      <c r="D105" s="21" t="s">
        <v>41</v>
      </c>
      <c r="E105" s="38">
        <v>38845</v>
      </c>
      <c r="F105" s="38">
        <v>38905</v>
      </c>
      <c r="G105" s="36">
        <v>60</v>
      </c>
      <c r="H105" s="36" t="s">
        <v>0</v>
      </c>
      <c r="I105" s="9">
        <v>3000000000</v>
      </c>
      <c r="J105" s="43">
        <v>0</v>
      </c>
      <c r="K105" s="9">
        <v>3000000000</v>
      </c>
      <c r="L105" s="9">
        <v>2290000000</v>
      </c>
      <c r="M105" s="9">
        <v>2381052434</v>
      </c>
      <c r="N105" s="43">
        <v>0.76333333333333331</v>
      </c>
      <c r="O105" s="43">
        <v>0.23899999999999999</v>
      </c>
      <c r="P105" s="43">
        <v>0.23860000000000001</v>
      </c>
      <c r="Q105" s="9">
        <v>40494547000</v>
      </c>
      <c r="R105" s="9">
        <v>41765149481.400002</v>
      </c>
      <c r="S105" s="13"/>
    </row>
    <row r="106" spans="1:19" ht="26.25" customHeight="1" x14ac:dyDescent="0.2">
      <c r="A106" s="100"/>
      <c r="B106" s="24">
        <v>102</v>
      </c>
      <c r="C106" s="20" t="s">
        <v>40</v>
      </c>
      <c r="D106" s="21" t="s">
        <v>41</v>
      </c>
      <c r="E106" s="46">
        <v>38845</v>
      </c>
      <c r="F106" s="46">
        <v>38861</v>
      </c>
      <c r="G106" s="39">
        <v>16</v>
      </c>
      <c r="H106" s="39" t="s">
        <v>1</v>
      </c>
      <c r="I106" s="12">
        <v>3000000000</v>
      </c>
      <c r="J106" s="45">
        <v>3.4500000000000003E-2</v>
      </c>
      <c r="K106" s="12">
        <v>3103500000</v>
      </c>
      <c r="L106" s="12">
        <v>1029327500</v>
      </c>
      <c r="M106" s="12">
        <v>1038910415</v>
      </c>
      <c r="N106" s="45">
        <v>0.33166666666666667</v>
      </c>
      <c r="O106" s="45">
        <v>0.21</v>
      </c>
      <c r="P106" s="45">
        <v>0.20949999999999999</v>
      </c>
      <c r="Q106" s="12">
        <v>41523874500</v>
      </c>
      <c r="R106" s="12">
        <v>42804059896.400002</v>
      </c>
      <c r="S106" s="13"/>
    </row>
    <row r="107" spans="1:19" ht="26.25" customHeight="1" x14ac:dyDescent="0.2">
      <c r="A107" s="100"/>
      <c r="B107" s="23">
        <v>103</v>
      </c>
      <c r="C107" s="20" t="s">
        <v>40</v>
      </c>
      <c r="D107" s="21" t="s">
        <v>41</v>
      </c>
      <c r="E107" s="38">
        <v>38847</v>
      </c>
      <c r="F107" s="38">
        <v>38905</v>
      </c>
      <c r="G107" s="36">
        <v>58</v>
      </c>
      <c r="H107" s="36" t="s">
        <v>0</v>
      </c>
      <c r="I107" s="9">
        <v>3000000000</v>
      </c>
      <c r="J107" s="43">
        <v>0</v>
      </c>
      <c r="K107" s="9">
        <v>3000000000</v>
      </c>
      <c r="L107" s="9">
        <v>2350000000</v>
      </c>
      <c r="M107" s="9">
        <v>2440557385</v>
      </c>
      <c r="N107" s="43">
        <v>0.78333333333333333</v>
      </c>
      <c r="O107" s="43">
        <v>0.24</v>
      </c>
      <c r="P107" s="43">
        <v>0.2392</v>
      </c>
      <c r="Q107" s="9">
        <v>40509874500</v>
      </c>
      <c r="R107" s="9">
        <v>41834923458.200005</v>
      </c>
      <c r="S107" s="13"/>
    </row>
    <row r="108" spans="1:19" ht="26.25" customHeight="1" x14ac:dyDescent="0.2">
      <c r="A108" s="100"/>
      <c r="B108" s="25">
        <v>104</v>
      </c>
      <c r="C108" s="20" t="s">
        <v>40</v>
      </c>
      <c r="D108" s="21" t="s">
        <v>41</v>
      </c>
      <c r="E108" s="44">
        <v>38847</v>
      </c>
      <c r="F108" s="44">
        <v>38861</v>
      </c>
      <c r="G108" s="51">
        <v>14</v>
      </c>
      <c r="H108" s="51" t="s">
        <v>0</v>
      </c>
      <c r="I108" s="14">
        <v>4000000000</v>
      </c>
      <c r="J108" s="52">
        <v>0</v>
      </c>
      <c r="K108" s="14">
        <v>4000000000</v>
      </c>
      <c r="L108" s="14">
        <v>1520000000</v>
      </c>
      <c r="M108" s="14">
        <v>1532402707</v>
      </c>
      <c r="N108" s="52">
        <v>0.38</v>
      </c>
      <c r="O108" s="52">
        <v>0.21</v>
      </c>
      <c r="P108" s="52">
        <v>0.20979999999999999</v>
      </c>
      <c r="Q108" s="14">
        <v>42029874500</v>
      </c>
      <c r="R108" s="14">
        <v>43367326165.200005</v>
      </c>
      <c r="S108" s="13"/>
    </row>
    <row r="109" spans="1:19" ht="26.25" customHeight="1" x14ac:dyDescent="0.2">
      <c r="A109" s="100"/>
      <c r="B109" s="23">
        <v>105</v>
      </c>
      <c r="C109" s="20" t="s">
        <v>40</v>
      </c>
      <c r="D109" s="21" t="s">
        <v>41</v>
      </c>
      <c r="E109" s="38">
        <v>38849</v>
      </c>
      <c r="F109" s="38">
        <v>38910</v>
      </c>
      <c r="G109" s="36">
        <v>61</v>
      </c>
      <c r="H109" s="36" t="s">
        <v>0</v>
      </c>
      <c r="I109" s="9">
        <v>1500000000</v>
      </c>
      <c r="J109" s="43">
        <v>0</v>
      </c>
      <c r="K109" s="9">
        <v>1500000000</v>
      </c>
      <c r="L109" s="9">
        <v>315000000</v>
      </c>
      <c r="M109" s="9">
        <v>327767638</v>
      </c>
      <c r="N109" s="43">
        <v>0.21</v>
      </c>
      <c r="O109" s="43">
        <v>0.24</v>
      </c>
      <c r="P109" s="43">
        <v>0.2392</v>
      </c>
      <c r="Q109" s="9">
        <v>40592356000</v>
      </c>
      <c r="R109" s="9">
        <v>41928299527.199997</v>
      </c>
      <c r="S109" s="13"/>
    </row>
    <row r="110" spans="1:19" ht="26.25" customHeight="1" x14ac:dyDescent="0.2">
      <c r="A110" s="100"/>
      <c r="B110" s="24">
        <v>106</v>
      </c>
      <c r="C110" s="20" t="s">
        <v>40</v>
      </c>
      <c r="D110" s="21" t="s">
        <v>41</v>
      </c>
      <c r="E110" s="46">
        <v>38849</v>
      </c>
      <c r="F110" s="46">
        <v>38863</v>
      </c>
      <c r="G110" s="39">
        <v>14</v>
      </c>
      <c r="H110" s="39" t="s">
        <v>0</v>
      </c>
      <c r="I110" s="12">
        <v>1500000000</v>
      </c>
      <c r="J110" s="45">
        <v>0</v>
      </c>
      <c r="K110" s="12">
        <v>1500000000</v>
      </c>
      <c r="L110" s="12">
        <v>1320000000</v>
      </c>
      <c r="M110" s="12">
        <v>1330746334</v>
      </c>
      <c r="N110" s="45">
        <v>0.88</v>
      </c>
      <c r="O110" s="45">
        <v>0.21</v>
      </c>
      <c r="P110" s="45">
        <v>0.20930000000000001</v>
      </c>
      <c r="Q110" s="12">
        <v>41912356000</v>
      </c>
      <c r="R110" s="12">
        <v>43259045861.199997</v>
      </c>
      <c r="S110" s="13"/>
    </row>
    <row r="111" spans="1:19" ht="26.25" customHeight="1" x14ac:dyDescent="0.2">
      <c r="A111" s="100"/>
      <c r="B111" s="28">
        <v>107</v>
      </c>
      <c r="C111" s="20" t="s">
        <v>40</v>
      </c>
      <c r="D111" s="21" t="s">
        <v>41</v>
      </c>
      <c r="E111" s="38">
        <v>38854</v>
      </c>
      <c r="F111" s="38">
        <f t="shared" ref="F111:F116" si="8">+E111+G111</f>
        <v>38912</v>
      </c>
      <c r="G111" s="36">
        <v>58</v>
      </c>
      <c r="H111" s="36" t="s">
        <v>0</v>
      </c>
      <c r="I111" s="9">
        <v>1500000000</v>
      </c>
      <c r="J111" s="43">
        <v>0</v>
      </c>
      <c r="K111" s="9">
        <v>1500000000</v>
      </c>
      <c r="L111" s="9">
        <v>1500000000</v>
      </c>
      <c r="M111" s="9">
        <v>1557717753</v>
      </c>
      <c r="N111" s="43">
        <f>L111/K111</f>
        <v>1</v>
      </c>
      <c r="O111" s="43">
        <v>0.23910000000000001</v>
      </c>
      <c r="P111" s="43">
        <v>0.23880000000000001</v>
      </c>
      <c r="Q111" s="9">
        <f>Q110-899000000-885000000-2500000000+1500000000</f>
        <v>39128356000</v>
      </c>
      <c r="R111" s="9">
        <f>R110-934567827.6-919675733.5+1557717753-2520343799</f>
        <v>40442176254.099998</v>
      </c>
      <c r="S111" s="13"/>
    </row>
    <row r="112" spans="1:19" ht="26.25" customHeight="1" x14ac:dyDescent="0.2">
      <c r="A112" s="100"/>
      <c r="B112" s="29">
        <v>108</v>
      </c>
      <c r="C112" s="20" t="s">
        <v>40</v>
      </c>
      <c r="D112" s="21" t="s">
        <v>41</v>
      </c>
      <c r="E112" s="46">
        <v>38854</v>
      </c>
      <c r="F112" s="46">
        <f t="shared" si="8"/>
        <v>38868</v>
      </c>
      <c r="G112" s="39">
        <v>14</v>
      </c>
      <c r="H112" s="39" t="s">
        <v>0</v>
      </c>
      <c r="I112" s="12">
        <v>1500000000</v>
      </c>
      <c r="J112" s="45">
        <v>0</v>
      </c>
      <c r="K112" s="12">
        <v>1500000000</v>
      </c>
      <c r="L112" s="12">
        <v>1500000000</v>
      </c>
      <c r="M112" s="12">
        <v>1512148962.4000001</v>
      </c>
      <c r="N112" s="45">
        <f>L112/K112</f>
        <v>1</v>
      </c>
      <c r="O112" s="45">
        <v>0.2094</v>
      </c>
      <c r="P112" s="45">
        <v>0.20830000000000001</v>
      </c>
      <c r="Q112" s="12">
        <f>Q111+1500000000</f>
        <v>40628356000</v>
      </c>
      <c r="R112" s="12">
        <f>R111+M112</f>
        <v>41954325216.5</v>
      </c>
      <c r="S112" s="13"/>
    </row>
    <row r="113" spans="1:19" ht="26.25" customHeight="1" x14ac:dyDescent="0.2">
      <c r="A113" s="100"/>
      <c r="B113" s="23">
        <v>109</v>
      </c>
      <c r="C113" s="20" t="s">
        <v>40</v>
      </c>
      <c r="D113" s="21" t="s">
        <v>41</v>
      </c>
      <c r="E113" s="38">
        <v>38856</v>
      </c>
      <c r="F113" s="38">
        <f t="shared" si="8"/>
        <v>38917</v>
      </c>
      <c r="G113" s="36">
        <v>61</v>
      </c>
      <c r="H113" s="36" t="s">
        <v>0</v>
      </c>
      <c r="I113" s="9">
        <v>3000000000</v>
      </c>
      <c r="J113" s="43">
        <v>0</v>
      </c>
      <c r="K113" s="9">
        <v>3000000000</v>
      </c>
      <c r="L113" s="9">
        <v>1822000000</v>
      </c>
      <c r="M113" s="9">
        <v>1895702286.2</v>
      </c>
      <c r="N113" s="43">
        <f>L113/K113</f>
        <v>0.60733333333333328</v>
      </c>
      <c r="O113" s="43">
        <v>0.24</v>
      </c>
      <c r="P113" s="43">
        <v>0.23857</v>
      </c>
      <c r="Q113" s="9">
        <f>Q112-3889015000+1822000000</f>
        <v>38561341000</v>
      </c>
      <c r="R113" s="9">
        <f>R112-3930818495+M113</f>
        <v>39919209007.699997</v>
      </c>
      <c r="S113" s="13"/>
    </row>
    <row r="114" spans="1:19" ht="26.25" customHeight="1" x14ac:dyDescent="0.2">
      <c r="A114" s="100"/>
      <c r="B114" s="24">
        <v>110</v>
      </c>
      <c r="C114" s="20" t="s">
        <v>40</v>
      </c>
      <c r="D114" s="21" t="s">
        <v>41</v>
      </c>
      <c r="E114" s="46">
        <v>38856</v>
      </c>
      <c r="F114" s="46">
        <f t="shared" si="8"/>
        <v>38870</v>
      </c>
      <c r="G114" s="39">
        <v>14</v>
      </c>
      <c r="H114" s="39" t="s">
        <v>1</v>
      </c>
      <c r="I114" s="12">
        <v>3000000000</v>
      </c>
      <c r="J114" s="45">
        <v>3.6499999999999998E-2</v>
      </c>
      <c r="K114" s="12">
        <v>3109500000</v>
      </c>
      <c r="L114" s="12">
        <v>2985120000</v>
      </c>
      <c r="M114" s="12">
        <v>3009294955</v>
      </c>
      <c r="N114" s="45">
        <f>L114/K114</f>
        <v>0.96</v>
      </c>
      <c r="O114" s="45">
        <v>0.21</v>
      </c>
      <c r="P114" s="45">
        <v>0.20830000000000001</v>
      </c>
      <c r="Q114" s="12">
        <f>Q113+2985120000</f>
        <v>41546461000</v>
      </c>
      <c r="R114" s="12">
        <f>R113+M114</f>
        <v>42928503962.699997</v>
      </c>
      <c r="S114" s="13"/>
    </row>
    <row r="115" spans="1:19" ht="26.25" customHeight="1" x14ac:dyDescent="0.2">
      <c r="A115" s="100"/>
      <c r="B115" s="23">
        <v>111</v>
      </c>
      <c r="C115" s="20" t="s">
        <v>40</v>
      </c>
      <c r="D115" s="21" t="s">
        <v>41</v>
      </c>
      <c r="E115" s="38">
        <v>38859</v>
      </c>
      <c r="F115" s="38">
        <f t="shared" si="8"/>
        <v>38919</v>
      </c>
      <c r="G115" s="36">
        <v>60</v>
      </c>
      <c r="H115" s="36" t="s">
        <v>0</v>
      </c>
      <c r="I115" s="9">
        <v>2000000000</v>
      </c>
      <c r="J115" s="43">
        <v>0</v>
      </c>
      <c r="K115" s="9">
        <v>2000000000</v>
      </c>
      <c r="L115" s="9">
        <v>1210000000</v>
      </c>
      <c r="M115" s="9">
        <v>1257068845.5</v>
      </c>
      <c r="N115" s="43">
        <v>0.60499999999999998</v>
      </c>
      <c r="O115" s="43">
        <v>0.24</v>
      </c>
      <c r="P115" s="43">
        <v>0.2334</v>
      </c>
      <c r="Q115" s="9">
        <v>40606461000</v>
      </c>
      <c r="R115" s="9">
        <v>41949069137.099998</v>
      </c>
      <c r="S115" s="13"/>
    </row>
    <row r="116" spans="1:19" ht="26.25" customHeight="1" x14ac:dyDescent="0.2">
      <c r="A116" s="100"/>
      <c r="B116" s="24">
        <v>112</v>
      </c>
      <c r="C116" s="20" t="s">
        <v>40</v>
      </c>
      <c r="D116" s="21" t="s">
        <v>41</v>
      </c>
      <c r="E116" s="46">
        <v>38859</v>
      </c>
      <c r="F116" s="46">
        <f t="shared" si="8"/>
        <v>38875</v>
      </c>
      <c r="G116" s="39">
        <v>16</v>
      </c>
      <c r="H116" s="39" t="s">
        <v>1</v>
      </c>
      <c r="I116" s="12">
        <v>2000000000</v>
      </c>
      <c r="J116" s="45">
        <v>3.7499999999999999E-2</v>
      </c>
      <c r="K116" s="12">
        <v>2075000000</v>
      </c>
      <c r="L116" s="12">
        <v>1421375000</v>
      </c>
      <c r="M116" s="12">
        <v>1434593680</v>
      </c>
      <c r="N116" s="45">
        <v>0.68500000000000005</v>
      </c>
      <c r="O116" s="45">
        <v>0.21</v>
      </c>
      <c r="P116" s="45">
        <v>0.20930000000000001</v>
      </c>
      <c r="Q116" s="12">
        <v>42027836000</v>
      </c>
      <c r="R116" s="12">
        <v>43383662817.099998</v>
      </c>
      <c r="S116" s="13"/>
    </row>
    <row r="117" spans="1:19" ht="26.25" customHeight="1" x14ac:dyDescent="0.2">
      <c r="A117" s="100"/>
      <c r="B117" s="23">
        <v>113</v>
      </c>
      <c r="C117" s="20" t="s">
        <v>40</v>
      </c>
      <c r="D117" s="21" t="s">
        <v>41</v>
      </c>
      <c r="E117" s="38">
        <v>38861</v>
      </c>
      <c r="F117" s="38">
        <v>38919</v>
      </c>
      <c r="G117" s="36">
        <v>58</v>
      </c>
      <c r="H117" s="36" t="s">
        <v>0</v>
      </c>
      <c r="I117" s="9">
        <v>3000000000</v>
      </c>
      <c r="J117" s="43">
        <v>0</v>
      </c>
      <c r="K117" s="9">
        <v>3000000000</v>
      </c>
      <c r="L117" s="9">
        <v>1385000000</v>
      </c>
      <c r="M117" s="9">
        <v>1438420903</v>
      </c>
      <c r="N117" s="43">
        <v>0.46166666666666667</v>
      </c>
      <c r="O117" s="43">
        <v>0.24</v>
      </c>
      <c r="P117" s="43">
        <v>0.2394</v>
      </c>
      <c r="Q117" s="9">
        <v>40313508500</v>
      </c>
      <c r="R117" s="9">
        <v>41678810944.099998</v>
      </c>
      <c r="S117" s="13"/>
    </row>
    <row r="118" spans="1:19" ht="26.25" customHeight="1" x14ac:dyDescent="0.2">
      <c r="A118" s="100"/>
      <c r="B118" s="24">
        <v>114</v>
      </c>
      <c r="C118" s="20" t="s">
        <v>40</v>
      </c>
      <c r="D118" s="21" t="s">
        <v>41</v>
      </c>
      <c r="E118" s="46">
        <v>38861</v>
      </c>
      <c r="F118" s="46">
        <f t="shared" ref="F118:F137" si="9">+E118+G118</f>
        <v>38875</v>
      </c>
      <c r="G118" s="39">
        <v>14</v>
      </c>
      <c r="H118" s="39" t="s">
        <v>0</v>
      </c>
      <c r="I118" s="12">
        <v>3000000000</v>
      </c>
      <c r="J118" s="45">
        <v>0</v>
      </c>
      <c r="K118" s="12">
        <v>3000000000</v>
      </c>
      <c r="L118" s="12">
        <v>2975000000</v>
      </c>
      <c r="M118" s="12">
        <v>2999203855</v>
      </c>
      <c r="N118" s="45">
        <f t="shared" ref="N118:N124" si="10">L118/K118</f>
        <v>0.9916666666666667</v>
      </c>
      <c r="O118" s="45">
        <v>0.21</v>
      </c>
      <c r="P118" s="45">
        <v>0.2092</v>
      </c>
      <c r="Q118" s="12">
        <f>40313508500+2975000000</f>
        <v>43288508500</v>
      </c>
      <c r="R118" s="12">
        <f>41678810944.1+2999203855</f>
        <v>44678014799.099998</v>
      </c>
      <c r="S118" s="13"/>
    </row>
    <row r="119" spans="1:19" ht="26.25" customHeight="1" x14ac:dyDescent="0.2">
      <c r="A119" s="100"/>
      <c r="B119" s="23">
        <v>115</v>
      </c>
      <c r="C119" s="20" t="s">
        <v>40</v>
      </c>
      <c r="D119" s="21" t="s">
        <v>41</v>
      </c>
      <c r="E119" s="38">
        <v>38863</v>
      </c>
      <c r="F119" s="38">
        <f t="shared" si="9"/>
        <v>38924</v>
      </c>
      <c r="G119" s="36">
        <v>61</v>
      </c>
      <c r="H119" s="36" t="s">
        <v>0</v>
      </c>
      <c r="I119" s="9">
        <v>3000000000</v>
      </c>
      <c r="J119" s="43">
        <v>0</v>
      </c>
      <c r="K119" s="9">
        <v>3000000000</v>
      </c>
      <c r="L119" s="9">
        <v>1160000000</v>
      </c>
      <c r="M119" s="9">
        <v>1206920872</v>
      </c>
      <c r="N119" s="43">
        <f t="shared" si="10"/>
        <v>0.38666666666666666</v>
      </c>
      <c r="O119" s="43">
        <v>0.23899999999999999</v>
      </c>
      <c r="P119" s="43">
        <v>0.2387</v>
      </c>
      <c r="Q119" s="9">
        <f>43288508500-L110-L77-L75+1160000000</f>
        <v>40073717000</v>
      </c>
      <c r="R119" s="9">
        <f>44678014799.1-M75-M77-M110+1206920872</f>
        <v>41474472371.099998</v>
      </c>
      <c r="S119" s="13"/>
    </row>
    <row r="120" spans="1:19" ht="26.25" customHeight="1" x14ac:dyDescent="0.2">
      <c r="A120" s="100"/>
      <c r="B120" s="23">
        <v>116</v>
      </c>
      <c r="C120" s="20" t="s">
        <v>40</v>
      </c>
      <c r="D120" s="21" t="s">
        <v>41</v>
      </c>
      <c r="E120" s="38">
        <v>38863</v>
      </c>
      <c r="F120" s="38">
        <f t="shared" si="9"/>
        <v>38877</v>
      </c>
      <c r="G120" s="36">
        <v>14</v>
      </c>
      <c r="H120" s="36" t="s">
        <v>1</v>
      </c>
      <c r="I120" s="9">
        <v>3500000000</v>
      </c>
      <c r="J120" s="43">
        <v>3.7999999999999999E-2</v>
      </c>
      <c r="K120" s="9">
        <v>3633000000</v>
      </c>
      <c r="L120" s="9">
        <v>3008124000</v>
      </c>
      <c r="M120" s="9">
        <v>3032243123</v>
      </c>
      <c r="N120" s="43">
        <f t="shared" si="10"/>
        <v>0.82799999999999996</v>
      </c>
      <c r="O120" s="43">
        <v>0.20899999999999999</v>
      </c>
      <c r="P120" s="43">
        <v>0.20619999999999999</v>
      </c>
      <c r="Q120" s="9">
        <f>40249495000+3008124000</f>
        <v>43257619000</v>
      </c>
      <c r="R120" s="9">
        <f>41563147968.1+3032243123</f>
        <v>44595391091.099998</v>
      </c>
      <c r="S120" s="13"/>
    </row>
    <row r="121" spans="1:19" ht="26.25" customHeight="1" x14ac:dyDescent="0.2">
      <c r="A121" s="100"/>
      <c r="B121" s="23">
        <v>117</v>
      </c>
      <c r="C121" s="20" t="s">
        <v>40</v>
      </c>
      <c r="D121" s="21" t="s">
        <v>41</v>
      </c>
      <c r="E121" s="38">
        <v>38866</v>
      </c>
      <c r="F121" s="38">
        <f t="shared" si="9"/>
        <v>38926</v>
      </c>
      <c r="G121" s="36">
        <v>60</v>
      </c>
      <c r="H121" s="36" t="s">
        <v>0</v>
      </c>
      <c r="I121" s="9">
        <v>1000000000</v>
      </c>
      <c r="J121" s="43">
        <v>0</v>
      </c>
      <c r="K121" s="9">
        <v>1000000000</v>
      </c>
      <c r="L121" s="9">
        <v>1000000000</v>
      </c>
      <c r="M121" s="9">
        <v>1039649166</v>
      </c>
      <c r="N121" s="43">
        <f t="shared" si="10"/>
        <v>1</v>
      </c>
      <c r="O121" s="43">
        <v>0.23849999999999999</v>
      </c>
      <c r="P121" s="43">
        <v>0.2379</v>
      </c>
      <c r="Q121" s="9">
        <f>+Q120+L121</f>
        <v>44257619000</v>
      </c>
      <c r="R121" s="9">
        <f>+R120+M121</f>
        <v>45635040257.099998</v>
      </c>
      <c r="S121" s="13"/>
    </row>
    <row r="122" spans="1:19" ht="26.25" customHeight="1" x14ac:dyDescent="0.2">
      <c r="A122" s="100"/>
      <c r="B122" s="23">
        <v>118</v>
      </c>
      <c r="C122" s="20" t="s">
        <v>40</v>
      </c>
      <c r="D122" s="21" t="s">
        <v>41</v>
      </c>
      <c r="E122" s="38">
        <v>38866</v>
      </c>
      <c r="F122" s="38">
        <f t="shared" si="9"/>
        <v>38882</v>
      </c>
      <c r="G122" s="36">
        <v>16</v>
      </c>
      <c r="H122" s="36" t="s">
        <v>1</v>
      </c>
      <c r="I122" s="9">
        <v>2500000000</v>
      </c>
      <c r="J122" s="43">
        <v>3.9E-2</v>
      </c>
      <c r="K122" s="9">
        <v>2597500000</v>
      </c>
      <c r="L122" s="9">
        <v>1790612600</v>
      </c>
      <c r="M122" s="9">
        <v>1807105199.2</v>
      </c>
      <c r="N122" s="43">
        <f t="shared" si="10"/>
        <v>0.68935999999999997</v>
      </c>
      <c r="O122" s="43">
        <v>0.20949999999999999</v>
      </c>
      <c r="P122" s="43">
        <v>0.2072</v>
      </c>
      <c r="Q122" s="9">
        <f>+Q121+L122</f>
        <v>46048231600</v>
      </c>
      <c r="R122" s="9">
        <f>+R121+M122</f>
        <v>47442145456.299995</v>
      </c>
      <c r="S122" s="13"/>
    </row>
    <row r="123" spans="1:19" ht="26.25" customHeight="1" x14ac:dyDescent="0.2">
      <c r="A123" s="100"/>
      <c r="B123" s="23">
        <v>119</v>
      </c>
      <c r="C123" s="20" t="s">
        <v>40</v>
      </c>
      <c r="D123" s="21" t="s">
        <v>41</v>
      </c>
      <c r="E123" s="38">
        <v>38868</v>
      </c>
      <c r="F123" s="38">
        <f t="shared" si="9"/>
        <v>38926</v>
      </c>
      <c r="G123" s="36">
        <v>58</v>
      </c>
      <c r="H123" s="36" t="s">
        <v>0</v>
      </c>
      <c r="I123" s="9">
        <v>1000000000</v>
      </c>
      <c r="J123" s="43">
        <v>0</v>
      </c>
      <c r="K123" s="9">
        <v>1000000000</v>
      </c>
      <c r="L123" s="9">
        <v>0</v>
      </c>
      <c r="M123" s="9">
        <v>0</v>
      </c>
      <c r="N123" s="43">
        <f t="shared" si="10"/>
        <v>0</v>
      </c>
      <c r="O123" s="43">
        <v>0</v>
      </c>
      <c r="P123" s="43">
        <v>0</v>
      </c>
      <c r="Q123" s="9">
        <f>Q122-1321000000</f>
        <v>44727231600</v>
      </c>
      <c r="R123" s="9">
        <f>R122-1373615589.5</f>
        <v>46068529866.799995</v>
      </c>
      <c r="S123" s="13"/>
    </row>
    <row r="124" spans="1:19" ht="26.25" customHeight="1" x14ac:dyDescent="0.2">
      <c r="A124" s="100"/>
      <c r="B124" s="25">
        <v>120</v>
      </c>
      <c r="C124" s="20" t="s">
        <v>40</v>
      </c>
      <c r="D124" s="21" t="s">
        <v>41</v>
      </c>
      <c r="E124" s="44">
        <v>38868</v>
      </c>
      <c r="F124" s="44">
        <f t="shared" si="9"/>
        <v>38882</v>
      </c>
      <c r="G124" s="51">
        <v>14</v>
      </c>
      <c r="H124" s="51" t="s">
        <v>1</v>
      </c>
      <c r="I124" s="14">
        <v>3000000000</v>
      </c>
      <c r="J124" s="52">
        <v>3.9E-2</v>
      </c>
      <c r="K124" s="14">
        <f>I124*1.039</f>
        <v>3117000000</v>
      </c>
      <c r="L124" s="14">
        <v>3117000000</v>
      </c>
      <c r="M124" s="14">
        <v>3141403876</v>
      </c>
      <c r="N124" s="45">
        <f t="shared" si="10"/>
        <v>1</v>
      </c>
      <c r="O124" s="52">
        <v>0.20799999999999999</v>
      </c>
      <c r="P124" s="52">
        <v>0.20130000000000001</v>
      </c>
      <c r="Q124" s="14">
        <f>Q123-1500000000+3117000000</f>
        <v>46344231600</v>
      </c>
      <c r="R124" s="14">
        <f>R123-1512148962.4+3141403876</f>
        <v>47697784780.399994</v>
      </c>
      <c r="S124" s="13"/>
    </row>
    <row r="125" spans="1:19" ht="26.25" customHeight="1" x14ac:dyDescent="0.2">
      <c r="A125" s="100"/>
      <c r="B125" s="23">
        <v>121</v>
      </c>
      <c r="C125" s="20" t="s">
        <v>40</v>
      </c>
      <c r="D125" s="21" t="s">
        <v>41</v>
      </c>
      <c r="E125" s="38">
        <v>38870</v>
      </c>
      <c r="F125" s="38">
        <f t="shared" si="9"/>
        <v>38931</v>
      </c>
      <c r="G125" s="36">
        <v>61</v>
      </c>
      <c r="H125" s="36" t="s">
        <v>0</v>
      </c>
      <c r="I125" s="9">
        <v>1500000000</v>
      </c>
      <c r="J125" s="43">
        <v>0</v>
      </c>
      <c r="K125" s="9">
        <v>1500000000</v>
      </c>
      <c r="L125" s="9">
        <v>1450000000</v>
      </c>
      <c r="M125" s="9">
        <v>1506318226</v>
      </c>
      <c r="N125" s="43">
        <f>+L125/K125</f>
        <v>0.96666666666666667</v>
      </c>
      <c r="O125" s="43">
        <v>0.23400000000000001</v>
      </c>
      <c r="P125" s="43">
        <v>0.22919999999999999</v>
      </c>
      <c r="Q125" s="9">
        <f>+Q124+L125-L114-L82-L80</f>
        <v>41816111600</v>
      </c>
      <c r="R125" s="9">
        <f>+R124+M125-M114-M82-M80</f>
        <v>43085333395.899994</v>
      </c>
      <c r="S125" s="13"/>
    </row>
    <row r="126" spans="1:19" ht="26.25" customHeight="1" x14ac:dyDescent="0.2">
      <c r="A126" s="100"/>
      <c r="B126" s="23">
        <v>122</v>
      </c>
      <c r="C126" s="20" t="s">
        <v>40</v>
      </c>
      <c r="D126" s="21" t="s">
        <v>41</v>
      </c>
      <c r="E126" s="38">
        <v>38870</v>
      </c>
      <c r="F126" s="38">
        <f t="shared" si="9"/>
        <v>38884</v>
      </c>
      <c r="G126" s="36">
        <v>14</v>
      </c>
      <c r="H126" s="36" t="s">
        <v>1</v>
      </c>
      <c r="I126" s="9">
        <v>4500000000</v>
      </c>
      <c r="J126" s="43">
        <v>3.95E-2</v>
      </c>
      <c r="K126" s="9">
        <v>4677750000</v>
      </c>
      <c r="L126" s="9">
        <v>4641367500</v>
      </c>
      <c r="M126" s="9">
        <v>4678109727</v>
      </c>
      <c r="N126" s="43">
        <f>+L126/K126</f>
        <v>0.99222222222222223</v>
      </c>
      <c r="O126" s="43">
        <v>0.2049</v>
      </c>
      <c r="P126" s="43">
        <v>0.2036</v>
      </c>
      <c r="Q126" s="9">
        <f>+Q125+L126</f>
        <v>46457479100</v>
      </c>
      <c r="R126" s="9">
        <f>+R125+M126</f>
        <v>47763443122.899994</v>
      </c>
      <c r="S126" s="13"/>
    </row>
    <row r="127" spans="1:19" ht="26.25" customHeight="1" x14ac:dyDescent="0.2">
      <c r="A127" s="100"/>
      <c r="B127" s="25">
        <v>123</v>
      </c>
      <c r="C127" s="20" t="s">
        <v>40</v>
      </c>
      <c r="D127" s="21" t="s">
        <v>41</v>
      </c>
      <c r="E127" s="44">
        <v>38873</v>
      </c>
      <c r="F127" s="38">
        <f t="shared" si="9"/>
        <v>38889</v>
      </c>
      <c r="G127" s="51">
        <v>16</v>
      </c>
      <c r="H127" s="51" t="s">
        <v>0</v>
      </c>
      <c r="I127" s="14">
        <v>2500000000</v>
      </c>
      <c r="J127" s="52">
        <v>0</v>
      </c>
      <c r="K127" s="14">
        <v>2500000000</v>
      </c>
      <c r="L127" s="14">
        <v>1920000000</v>
      </c>
      <c r="M127" s="14">
        <v>1937272217</v>
      </c>
      <c r="N127" s="52">
        <v>0.76800000000000002</v>
      </c>
      <c r="O127" s="52">
        <v>0.20399999999999999</v>
      </c>
      <c r="P127" s="52">
        <v>0.2024</v>
      </c>
      <c r="Q127" s="14">
        <v>48377479100</v>
      </c>
      <c r="R127" s="14">
        <v>49700715339.900002</v>
      </c>
      <c r="S127" s="13"/>
    </row>
    <row r="128" spans="1:19" ht="26.25" customHeight="1" x14ac:dyDescent="0.2">
      <c r="A128" s="100"/>
      <c r="B128" s="23">
        <v>124</v>
      </c>
      <c r="C128" s="20" t="s">
        <v>40</v>
      </c>
      <c r="D128" s="21" t="s">
        <v>41</v>
      </c>
      <c r="E128" s="38">
        <v>38875</v>
      </c>
      <c r="F128" s="38">
        <f t="shared" si="9"/>
        <v>38933</v>
      </c>
      <c r="G128" s="36">
        <v>58</v>
      </c>
      <c r="H128" s="36" t="s">
        <v>0</v>
      </c>
      <c r="I128" s="9">
        <v>2000000000</v>
      </c>
      <c r="J128" s="43">
        <v>0</v>
      </c>
      <c r="K128" s="9">
        <v>2000000000</v>
      </c>
      <c r="L128" s="9">
        <v>1980000000</v>
      </c>
      <c r="M128" s="9">
        <v>2053063445</v>
      </c>
      <c r="N128" s="43">
        <v>0.99</v>
      </c>
      <c r="O128" s="43">
        <v>0.2319</v>
      </c>
      <c r="P128" s="43">
        <v>0.22900000000000001</v>
      </c>
      <c r="Q128" s="9">
        <f>+Q127+L128-L116-L118-L86-L84</f>
        <v>43826104100</v>
      </c>
      <c r="R128" s="9">
        <f>+R127+M128-M118-M116-M86-M84</f>
        <v>45097606638.400002</v>
      </c>
      <c r="S128" s="13"/>
    </row>
    <row r="129" spans="1:19" ht="26.25" customHeight="1" x14ac:dyDescent="0.2">
      <c r="A129" s="100"/>
      <c r="B129" s="24">
        <v>125</v>
      </c>
      <c r="C129" s="20" t="s">
        <v>40</v>
      </c>
      <c r="D129" s="21" t="s">
        <v>41</v>
      </c>
      <c r="E129" s="46">
        <v>38875</v>
      </c>
      <c r="F129" s="38">
        <f t="shared" si="9"/>
        <v>38889</v>
      </c>
      <c r="G129" s="39">
        <v>14</v>
      </c>
      <c r="H129" s="39" t="s">
        <v>0</v>
      </c>
      <c r="I129" s="12">
        <v>5000000000</v>
      </c>
      <c r="J129" s="45">
        <v>0</v>
      </c>
      <c r="K129" s="12">
        <v>5000000000</v>
      </c>
      <c r="L129" s="12">
        <v>2605000000</v>
      </c>
      <c r="M129" s="12">
        <v>2625509551.5</v>
      </c>
      <c r="N129" s="45">
        <v>0.52100000000000002</v>
      </c>
      <c r="O129" s="45">
        <v>0.20799999999999999</v>
      </c>
      <c r="P129" s="45">
        <v>0.20250000000000001</v>
      </c>
      <c r="Q129" s="12">
        <f>+Q128+L129</f>
        <v>46431104100</v>
      </c>
      <c r="R129" s="12">
        <f>+R128+M129</f>
        <v>47723116189.900002</v>
      </c>
      <c r="S129" s="13"/>
    </row>
    <row r="130" spans="1:19" ht="26.25" customHeight="1" x14ac:dyDescent="0.2">
      <c r="A130" s="100"/>
      <c r="B130" s="24">
        <v>126</v>
      </c>
      <c r="C130" s="20" t="s">
        <v>40</v>
      </c>
      <c r="D130" s="21" t="s">
        <v>41</v>
      </c>
      <c r="E130" s="46">
        <v>38876</v>
      </c>
      <c r="F130" s="38">
        <f t="shared" si="9"/>
        <v>38891</v>
      </c>
      <c r="G130" s="39">
        <v>15</v>
      </c>
      <c r="H130" s="39" t="s">
        <v>0</v>
      </c>
      <c r="I130" s="12">
        <v>3000000000</v>
      </c>
      <c r="J130" s="45">
        <v>0</v>
      </c>
      <c r="K130" s="12">
        <v>3000000000</v>
      </c>
      <c r="L130" s="12">
        <v>1225000000</v>
      </c>
      <c r="M130" s="12">
        <v>1235411597</v>
      </c>
      <c r="N130" s="45">
        <v>0.40833333333333333</v>
      </c>
      <c r="O130" s="45">
        <v>0.20799999999999999</v>
      </c>
      <c r="P130" s="45">
        <v>0.20399999999999999</v>
      </c>
      <c r="Q130" s="12">
        <v>47656104100</v>
      </c>
      <c r="R130" s="12">
        <v>48958527786.900002</v>
      </c>
      <c r="S130" s="13"/>
    </row>
    <row r="131" spans="1:19" ht="26.25" customHeight="1" x14ac:dyDescent="0.2">
      <c r="A131" s="100"/>
      <c r="B131" s="23">
        <v>127</v>
      </c>
      <c r="C131" s="20" t="s">
        <v>40</v>
      </c>
      <c r="D131" s="21" t="s">
        <v>41</v>
      </c>
      <c r="E131" s="38">
        <v>38877</v>
      </c>
      <c r="F131" s="38">
        <f t="shared" si="9"/>
        <v>38938</v>
      </c>
      <c r="G131" s="36">
        <v>61</v>
      </c>
      <c r="H131" s="36" t="s">
        <v>0</v>
      </c>
      <c r="I131" s="9">
        <v>2000000000</v>
      </c>
      <c r="J131" s="43">
        <v>0</v>
      </c>
      <c r="K131" s="9">
        <v>2000000000</v>
      </c>
      <c r="L131" s="9">
        <v>630000000</v>
      </c>
      <c r="M131" s="9">
        <v>654480050</v>
      </c>
      <c r="N131" s="43">
        <v>0.315</v>
      </c>
      <c r="O131" s="43">
        <v>0.23150000000000001</v>
      </c>
      <c r="P131" s="43">
        <v>0.2293</v>
      </c>
      <c r="Q131" s="9">
        <v>44277980100</v>
      </c>
      <c r="R131" s="9">
        <v>45542297165.900002</v>
      </c>
      <c r="S131" s="13"/>
    </row>
    <row r="132" spans="1:19" ht="26.25" customHeight="1" x14ac:dyDescent="0.2">
      <c r="A132" s="100"/>
      <c r="B132" s="24">
        <v>128</v>
      </c>
      <c r="C132" s="20" t="s">
        <v>40</v>
      </c>
      <c r="D132" s="21" t="s">
        <v>41</v>
      </c>
      <c r="E132" s="46">
        <v>38877</v>
      </c>
      <c r="F132" s="46">
        <f t="shared" si="9"/>
        <v>38892</v>
      </c>
      <c r="G132" s="39">
        <v>15</v>
      </c>
      <c r="H132" s="39" t="s">
        <v>0</v>
      </c>
      <c r="I132" s="12">
        <v>4000000000</v>
      </c>
      <c r="J132" s="45">
        <v>0</v>
      </c>
      <c r="K132" s="12">
        <v>4000000000</v>
      </c>
      <c r="L132" s="12">
        <v>1420000000</v>
      </c>
      <c r="M132" s="12">
        <v>1431332676</v>
      </c>
      <c r="N132" s="45">
        <v>0.35499999999999998</v>
      </c>
      <c r="O132" s="45">
        <v>0.20799999999999999</v>
      </c>
      <c r="P132" s="45">
        <v>0.20519999999999999</v>
      </c>
      <c r="Q132" s="12">
        <v>45697980100</v>
      </c>
      <c r="R132" s="12">
        <v>46973629841.900002</v>
      </c>
      <c r="S132" s="13"/>
    </row>
    <row r="133" spans="1:19" ht="26.25" customHeight="1" x14ac:dyDescent="0.2">
      <c r="A133" s="100"/>
      <c r="B133" s="29">
        <v>129</v>
      </c>
      <c r="C133" s="20" t="s">
        <v>40</v>
      </c>
      <c r="D133" s="21" t="s">
        <v>41</v>
      </c>
      <c r="E133" s="38">
        <v>38880</v>
      </c>
      <c r="F133" s="38">
        <f t="shared" si="9"/>
        <v>38896</v>
      </c>
      <c r="G133" s="36">
        <v>16</v>
      </c>
      <c r="H133" s="36" t="s">
        <v>1</v>
      </c>
      <c r="I133" s="9">
        <v>3000000000</v>
      </c>
      <c r="J133" s="43">
        <v>4.2000000000000003E-2</v>
      </c>
      <c r="K133" s="9">
        <v>3126000000</v>
      </c>
      <c r="L133" s="9">
        <v>52100000</v>
      </c>
      <c r="M133" s="9">
        <v>52574230</v>
      </c>
      <c r="N133" s="43">
        <f>L133/K133</f>
        <v>1.6666666666666666E-2</v>
      </c>
      <c r="O133" s="43">
        <v>0.20749999999999999</v>
      </c>
      <c r="P133" s="43">
        <v>0.20480000000000001</v>
      </c>
      <c r="Q133" s="9">
        <f>Q132+L133</f>
        <v>45750080100</v>
      </c>
      <c r="R133" s="9">
        <f>R132+M133</f>
        <v>47026204071.900002</v>
      </c>
      <c r="S133" s="13"/>
    </row>
    <row r="134" spans="1:19" ht="26.25" customHeight="1" x14ac:dyDescent="0.2">
      <c r="A134" s="100"/>
      <c r="B134" s="23">
        <v>130</v>
      </c>
      <c r="C134" s="20" t="s">
        <v>40</v>
      </c>
      <c r="D134" s="21" t="s">
        <v>41</v>
      </c>
      <c r="E134" s="31">
        <v>38882</v>
      </c>
      <c r="F134" s="31">
        <f t="shared" si="9"/>
        <v>38940</v>
      </c>
      <c r="G134" s="32">
        <v>58</v>
      </c>
      <c r="H134" s="32" t="s">
        <v>1</v>
      </c>
      <c r="I134" s="16">
        <v>1000000000</v>
      </c>
      <c r="J134" s="68">
        <v>5.2499999999999998E-2</v>
      </c>
      <c r="K134" s="16">
        <f>I134*(1+J134)</f>
        <v>1052500000</v>
      </c>
      <c r="L134" s="16">
        <v>1052500000</v>
      </c>
      <c r="M134" s="16">
        <v>1091219309</v>
      </c>
      <c r="N134" s="68">
        <f>L134/K134</f>
        <v>1</v>
      </c>
      <c r="O134" s="68">
        <v>0.22900000000000001</v>
      </c>
      <c r="P134" s="68">
        <v>0.2283</v>
      </c>
      <c r="Q134" s="16">
        <f>Q133-L124-L122-L91+L134</f>
        <v>40934967500</v>
      </c>
      <c r="R134" s="16">
        <f>R133-M124-M122-M91+M134</f>
        <v>42170021381.200005</v>
      </c>
      <c r="S134" s="13"/>
    </row>
    <row r="135" spans="1:19" ht="26.25" customHeight="1" x14ac:dyDescent="0.2">
      <c r="A135" s="100"/>
      <c r="B135" s="24">
        <v>131</v>
      </c>
      <c r="C135" s="86" t="s">
        <v>40</v>
      </c>
      <c r="D135" s="87" t="s">
        <v>41</v>
      </c>
      <c r="E135" s="46">
        <v>38882</v>
      </c>
      <c r="F135" s="46">
        <f t="shared" si="9"/>
        <v>38896</v>
      </c>
      <c r="G135" s="39">
        <v>14</v>
      </c>
      <c r="H135" s="39" t="s">
        <v>1</v>
      </c>
      <c r="I135" s="12">
        <v>3000000000</v>
      </c>
      <c r="J135" s="45">
        <v>4.2500000000000003E-2</v>
      </c>
      <c r="K135" s="14">
        <f>I135*(1+J135)</f>
        <v>3127500000</v>
      </c>
      <c r="L135" s="12">
        <v>2905134750</v>
      </c>
      <c r="M135" s="12">
        <v>2928296382.0999999</v>
      </c>
      <c r="N135" s="45">
        <f>L135/K135</f>
        <v>0.92889999999999995</v>
      </c>
      <c r="O135" s="45">
        <v>0.20749999999999999</v>
      </c>
      <c r="P135" s="45">
        <v>0.20499999999999999</v>
      </c>
      <c r="Q135" s="12">
        <f>Q134+L135</f>
        <v>43840102250</v>
      </c>
      <c r="R135" s="12">
        <f>R134+M135</f>
        <v>45098317763.300003</v>
      </c>
      <c r="S135" s="13"/>
    </row>
    <row r="136" spans="1:19" ht="26.25" customHeight="1" x14ac:dyDescent="0.2">
      <c r="A136" s="100">
        <v>2006</v>
      </c>
      <c r="B136" s="23">
        <v>132</v>
      </c>
      <c r="C136" s="20" t="s">
        <v>40</v>
      </c>
      <c r="D136" s="21" t="s">
        <v>41</v>
      </c>
      <c r="E136" s="38">
        <v>38884</v>
      </c>
      <c r="F136" s="38">
        <f t="shared" si="9"/>
        <v>38945</v>
      </c>
      <c r="G136" s="36">
        <v>61</v>
      </c>
      <c r="H136" s="36" t="s">
        <v>0</v>
      </c>
      <c r="I136" s="9">
        <v>2000000000</v>
      </c>
      <c r="J136" s="43">
        <v>0</v>
      </c>
      <c r="K136" s="9">
        <f>I136*(1+J136)</f>
        <v>2000000000</v>
      </c>
      <c r="L136" s="9">
        <v>2000000000</v>
      </c>
      <c r="M136" s="9">
        <v>2076127996</v>
      </c>
      <c r="N136" s="43">
        <f>L136/K136</f>
        <v>1</v>
      </c>
      <c r="O136" s="43">
        <v>0.22500000000000001</v>
      </c>
      <c r="P136" s="43">
        <v>0.22459999999999999</v>
      </c>
      <c r="Q136" s="9">
        <f>Q135-L126-L93+L136</f>
        <v>39698734750</v>
      </c>
      <c r="R136" s="9">
        <f>R135-M126-M93+M136</f>
        <v>40938706916.300003</v>
      </c>
      <c r="S136" s="13"/>
    </row>
    <row r="137" spans="1:19" ht="26.25" customHeight="1" x14ac:dyDescent="0.2">
      <c r="A137" s="100"/>
      <c r="B137" s="25">
        <v>133</v>
      </c>
      <c r="C137" s="20" t="s">
        <v>40</v>
      </c>
      <c r="D137" s="21" t="s">
        <v>41</v>
      </c>
      <c r="E137" s="44">
        <v>38884</v>
      </c>
      <c r="F137" s="44">
        <f t="shared" si="9"/>
        <v>38898</v>
      </c>
      <c r="G137" s="51">
        <v>14</v>
      </c>
      <c r="H137" s="51" t="s">
        <v>0</v>
      </c>
      <c r="I137" s="14">
        <v>4000000000</v>
      </c>
      <c r="J137" s="52">
        <v>0</v>
      </c>
      <c r="K137" s="14">
        <f>I137*(1+J137)</f>
        <v>4000000000</v>
      </c>
      <c r="L137" s="14">
        <v>2895000000</v>
      </c>
      <c r="M137" s="14">
        <v>2917990900</v>
      </c>
      <c r="N137" s="52">
        <f>L137/K137</f>
        <v>0.72375</v>
      </c>
      <c r="O137" s="52">
        <v>0.20749999999999999</v>
      </c>
      <c r="P137" s="52">
        <v>0.20419999999999999</v>
      </c>
      <c r="Q137" s="14">
        <f>Q136+L137</f>
        <v>42593734750</v>
      </c>
      <c r="R137" s="14">
        <f>R136+M137</f>
        <v>43856697816.300003</v>
      </c>
      <c r="S137" s="13"/>
    </row>
    <row r="138" spans="1:19" ht="26.25" customHeight="1" x14ac:dyDescent="0.2">
      <c r="A138" s="100"/>
      <c r="B138" s="23">
        <v>134</v>
      </c>
      <c r="C138" s="20" t="s">
        <v>40</v>
      </c>
      <c r="D138" s="21" t="s">
        <v>41</v>
      </c>
      <c r="E138" s="38">
        <v>38889</v>
      </c>
      <c r="F138" s="38">
        <v>38947</v>
      </c>
      <c r="G138" s="36">
        <v>58</v>
      </c>
      <c r="H138" s="36" t="s">
        <v>0</v>
      </c>
      <c r="I138" s="9">
        <v>2500000000</v>
      </c>
      <c r="J138" s="43">
        <v>0</v>
      </c>
      <c r="K138" s="9">
        <v>2500000000</v>
      </c>
      <c r="L138" s="9">
        <v>2500000000</v>
      </c>
      <c r="M138" s="9">
        <v>2589387151</v>
      </c>
      <c r="N138" s="43">
        <v>1</v>
      </c>
      <c r="O138" s="43">
        <v>0.2235</v>
      </c>
      <c r="P138" s="43">
        <v>0.22189999999999999</v>
      </c>
      <c r="Q138" s="9">
        <v>38798734750</v>
      </c>
      <c r="R138" s="9">
        <v>40040731881.800003</v>
      </c>
      <c r="S138" s="13"/>
    </row>
    <row r="139" spans="1:19" ht="26.25" customHeight="1" x14ac:dyDescent="0.2">
      <c r="A139" s="100"/>
      <c r="B139" s="23">
        <v>135</v>
      </c>
      <c r="C139" s="20" t="s">
        <v>40</v>
      </c>
      <c r="D139" s="21" t="s">
        <v>41</v>
      </c>
      <c r="E139" s="38">
        <v>38889</v>
      </c>
      <c r="F139" s="38">
        <v>38903</v>
      </c>
      <c r="G139" s="36">
        <v>14</v>
      </c>
      <c r="H139" s="36" t="s">
        <v>1</v>
      </c>
      <c r="I139" s="9">
        <v>4500000000</v>
      </c>
      <c r="J139" s="43">
        <v>4.3999999999999997E-2</v>
      </c>
      <c r="K139" s="9">
        <v>4698000000</v>
      </c>
      <c r="L139" s="9">
        <v>4528872000</v>
      </c>
      <c r="M139" s="9">
        <v>4564482943</v>
      </c>
      <c r="N139" s="43">
        <v>0.96399999999999997</v>
      </c>
      <c r="O139" s="43">
        <v>0.20300000000000001</v>
      </c>
      <c r="P139" s="43">
        <v>0.20219999999999999</v>
      </c>
      <c r="Q139" s="9">
        <v>43327606750</v>
      </c>
      <c r="R139" s="9">
        <v>44605214824.800003</v>
      </c>
      <c r="S139" s="13"/>
    </row>
    <row r="140" spans="1:19" ht="26.25" customHeight="1" x14ac:dyDescent="0.2">
      <c r="A140" s="100"/>
      <c r="B140" s="24">
        <v>136</v>
      </c>
      <c r="C140" s="20" t="s">
        <v>40</v>
      </c>
      <c r="D140" s="21" t="s">
        <v>41</v>
      </c>
      <c r="E140" s="46">
        <v>38889</v>
      </c>
      <c r="F140" s="46">
        <v>38903</v>
      </c>
      <c r="G140" s="39">
        <v>14</v>
      </c>
      <c r="H140" s="39" t="s">
        <v>0</v>
      </c>
      <c r="I140" s="12">
        <v>2000000000</v>
      </c>
      <c r="J140" s="45">
        <v>0</v>
      </c>
      <c r="K140" s="12">
        <v>2000000000</v>
      </c>
      <c r="L140" s="12">
        <v>1912000000</v>
      </c>
      <c r="M140" s="12">
        <v>1926999717.3</v>
      </c>
      <c r="N140" s="45">
        <v>0.95599999999999996</v>
      </c>
      <c r="O140" s="45">
        <v>0.20300000000000001</v>
      </c>
      <c r="P140" s="45">
        <v>0.20169999999999999</v>
      </c>
      <c r="Q140" s="12">
        <v>45239606750</v>
      </c>
      <c r="R140" s="12">
        <v>46532214542.100006</v>
      </c>
      <c r="S140" s="13"/>
    </row>
    <row r="141" spans="1:19" ht="26.25" customHeight="1" x14ac:dyDescent="0.2">
      <c r="A141" s="100"/>
      <c r="B141" s="24">
        <v>137</v>
      </c>
      <c r="C141" s="20" t="s">
        <v>40</v>
      </c>
      <c r="D141" s="21" t="s">
        <v>41</v>
      </c>
      <c r="E141" s="46">
        <v>38890</v>
      </c>
      <c r="F141" s="46">
        <v>38905</v>
      </c>
      <c r="G141" s="39">
        <v>15</v>
      </c>
      <c r="H141" s="39" t="s">
        <v>0</v>
      </c>
      <c r="I141" s="12">
        <v>2000000000</v>
      </c>
      <c r="J141" s="45">
        <v>0</v>
      </c>
      <c r="K141" s="12">
        <v>2000000000</v>
      </c>
      <c r="L141" s="12">
        <v>802000000</v>
      </c>
      <c r="M141" s="12">
        <v>808744710.60000002</v>
      </c>
      <c r="N141" s="45">
        <v>0.40100000000000002</v>
      </c>
      <c r="O141" s="45">
        <v>0.20300000000000001</v>
      </c>
      <c r="P141" s="45">
        <v>0.20180000000000001</v>
      </c>
      <c r="Q141" s="12">
        <v>46041606750</v>
      </c>
      <c r="R141" s="12">
        <v>47340959252.699997</v>
      </c>
      <c r="S141" s="13"/>
    </row>
    <row r="142" spans="1:19" ht="26.25" customHeight="1" x14ac:dyDescent="0.2">
      <c r="A142" s="100"/>
      <c r="B142" s="23">
        <v>138</v>
      </c>
      <c r="C142" s="20" t="s">
        <v>40</v>
      </c>
      <c r="D142" s="21" t="s">
        <v>41</v>
      </c>
      <c r="E142" s="38">
        <v>38891</v>
      </c>
      <c r="F142" s="38">
        <v>38952</v>
      </c>
      <c r="G142" s="36">
        <v>61</v>
      </c>
      <c r="H142" s="36" t="s">
        <v>0</v>
      </c>
      <c r="I142" s="9">
        <v>3000000000</v>
      </c>
      <c r="J142" s="43">
        <v>0</v>
      </c>
      <c r="K142" s="9">
        <v>3000000000</v>
      </c>
      <c r="L142" s="9">
        <v>3000000000</v>
      </c>
      <c r="M142" s="9">
        <v>3110548960</v>
      </c>
      <c r="N142" s="43">
        <v>1</v>
      </c>
      <c r="O142" s="43">
        <v>0.21990000000000001</v>
      </c>
      <c r="P142" s="43">
        <v>0.2175</v>
      </c>
      <c r="Q142" s="9">
        <v>44306606750</v>
      </c>
      <c r="R142" s="9">
        <v>45614356618.699997</v>
      </c>
      <c r="S142" s="13"/>
    </row>
    <row r="143" spans="1:19" ht="26.25" customHeight="1" x14ac:dyDescent="0.2">
      <c r="A143" s="100"/>
      <c r="B143" s="24">
        <v>139</v>
      </c>
      <c r="C143" s="20" t="s">
        <v>40</v>
      </c>
      <c r="D143" s="21" t="s">
        <v>41</v>
      </c>
      <c r="E143" s="46">
        <v>38891</v>
      </c>
      <c r="F143" s="46">
        <v>38906</v>
      </c>
      <c r="G143" s="39">
        <v>14</v>
      </c>
      <c r="H143" s="39" t="s">
        <v>0</v>
      </c>
      <c r="I143" s="12">
        <v>6000000000</v>
      </c>
      <c r="J143" s="45">
        <v>0</v>
      </c>
      <c r="K143" s="12">
        <v>6000000000</v>
      </c>
      <c r="L143" s="12">
        <v>4985000000</v>
      </c>
      <c r="M143" s="12">
        <v>5023896755.5</v>
      </c>
      <c r="N143" s="45">
        <v>0.83083333333333331</v>
      </c>
      <c r="O143" s="45">
        <v>0.20200000000000001</v>
      </c>
      <c r="P143" s="45">
        <v>0.2006</v>
      </c>
      <c r="Q143" s="12">
        <v>49291606750</v>
      </c>
      <c r="R143" s="12">
        <v>50638253374.199997</v>
      </c>
      <c r="S143" s="13"/>
    </row>
    <row r="144" spans="1:19" ht="26.25" customHeight="1" x14ac:dyDescent="0.2">
      <c r="A144" s="100"/>
      <c r="B144" s="23">
        <v>140</v>
      </c>
      <c r="C144" s="20" t="s">
        <v>40</v>
      </c>
      <c r="D144" s="21" t="s">
        <v>41</v>
      </c>
      <c r="E144" s="38">
        <v>38894</v>
      </c>
      <c r="F144" s="38">
        <f>E144+G144</f>
        <v>38954</v>
      </c>
      <c r="G144" s="36">
        <v>60</v>
      </c>
      <c r="H144" s="36" t="s">
        <v>0</v>
      </c>
      <c r="I144" s="9">
        <v>2000000000</v>
      </c>
      <c r="J144" s="43">
        <v>0</v>
      </c>
      <c r="K144" s="9">
        <f t="shared" ref="K144:K149" si="11">I144*(1+J144)</f>
        <v>2000000000</v>
      </c>
      <c r="L144" s="9">
        <v>2000000000</v>
      </c>
      <c r="M144" s="9">
        <v>2071469195</v>
      </c>
      <c r="N144" s="43">
        <f t="shared" ref="N144:N149" si="12">L144/K144</f>
        <v>1</v>
      </c>
      <c r="O144" s="43">
        <v>0.215</v>
      </c>
      <c r="P144" s="43">
        <v>0.21440000000000001</v>
      </c>
      <c r="Q144" s="9">
        <f t="shared" ref="Q144:R147" si="13">Q143+L144</f>
        <v>51291606750</v>
      </c>
      <c r="R144" s="9">
        <f t="shared" si="13"/>
        <v>52709722569.199997</v>
      </c>
      <c r="S144" s="13"/>
    </row>
    <row r="145" spans="1:19" ht="26.25" customHeight="1" x14ac:dyDescent="0.2">
      <c r="A145" s="100"/>
      <c r="B145" s="24">
        <v>141</v>
      </c>
      <c r="C145" s="20" t="s">
        <v>40</v>
      </c>
      <c r="D145" s="21" t="s">
        <v>41</v>
      </c>
      <c r="E145" s="46">
        <v>38894</v>
      </c>
      <c r="F145" s="46">
        <f>E145+G145</f>
        <v>38910</v>
      </c>
      <c r="G145" s="39">
        <v>16</v>
      </c>
      <c r="H145" s="39" t="s">
        <v>1</v>
      </c>
      <c r="I145" s="12">
        <v>4500000000</v>
      </c>
      <c r="J145" s="45">
        <v>4.5499999999999999E-2</v>
      </c>
      <c r="K145" s="12">
        <f t="shared" si="11"/>
        <v>4704750000</v>
      </c>
      <c r="L145" s="12">
        <v>2234913075</v>
      </c>
      <c r="M145" s="12">
        <v>2254672546.5500002</v>
      </c>
      <c r="N145" s="45">
        <f t="shared" si="12"/>
        <v>0.47503333333333331</v>
      </c>
      <c r="O145" s="45">
        <v>0.2019</v>
      </c>
      <c r="P145" s="45">
        <v>0.19889999999999999</v>
      </c>
      <c r="Q145" s="12">
        <f t="shared" si="13"/>
        <v>53526519825</v>
      </c>
      <c r="R145" s="12">
        <f t="shared" si="13"/>
        <v>54964395115.75</v>
      </c>
      <c r="S145" s="13"/>
    </row>
    <row r="146" spans="1:19" ht="26.25" customHeight="1" x14ac:dyDescent="0.2">
      <c r="A146" s="100"/>
      <c r="B146" s="23">
        <v>142</v>
      </c>
      <c r="C146" s="20" t="s">
        <v>40</v>
      </c>
      <c r="D146" s="21" t="s">
        <v>41</v>
      </c>
      <c r="E146" s="38">
        <v>38895</v>
      </c>
      <c r="F146" s="38">
        <f>+E146+G146</f>
        <v>38954</v>
      </c>
      <c r="G146" s="36">
        <v>59</v>
      </c>
      <c r="H146" s="36" t="s">
        <v>0</v>
      </c>
      <c r="I146" s="9">
        <v>2000000000</v>
      </c>
      <c r="J146" s="43">
        <v>0</v>
      </c>
      <c r="K146" s="9">
        <f t="shared" si="11"/>
        <v>2000000000</v>
      </c>
      <c r="L146" s="9">
        <v>1890000000</v>
      </c>
      <c r="M146" s="9">
        <v>1955924318</v>
      </c>
      <c r="N146" s="43">
        <f t="shared" si="12"/>
        <v>0.94499999999999995</v>
      </c>
      <c r="O146" s="43">
        <v>0.219</v>
      </c>
      <c r="P146" s="43">
        <v>0.21279999999999999</v>
      </c>
      <c r="Q146" s="9">
        <f t="shared" si="13"/>
        <v>55416519825</v>
      </c>
      <c r="R146" s="9">
        <f t="shared" si="13"/>
        <v>56920319433.75</v>
      </c>
      <c r="S146" s="13"/>
    </row>
    <row r="147" spans="1:19" ht="26.25" customHeight="1" x14ac:dyDescent="0.2">
      <c r="A147" s="100"/>
      <c r="B147" s="24">
        <v>143</v>
      </c>
      <c r="C147" s="20" t="s">
        <v>40</v>
      </c>
      <c r="D147" s="21" t="s">
        <v>41</v>
      </c>
      <c r="E147" s="46">
        <v>38895</v>
      </c>
      <c r="F147" s="46">
        <f>+E147+G147</f>
        <v>38910</v>
      </c>
      <c r="G147" s="39">
        <v>15</v>
      </c>
      <c r="H147" s="39" t="s">
        <v>0</v>
      </c>
      <c r="I147" s="12">
        <v>3000000000</v>
      </c>
      <c r="J147" s="45">
        <v>0</v>
      </c>
      <c r="K147" s="12">
        <f t="shared" si="11"/>
        <v>3000000000</v>
      </c>
      <c r="L147" s="12">
        <v>980000000</v>
      </c>
      <c r="M147" s="12">
        <v>988202330</v>
      </c>
      <c r="N147" s="45">
        <f t="shared" si="12"/>
        <v>0.32666666666666666</v>
      </c>
      <c r="O147" s="45">
        <v>0.20250000000000001</v>
      </c>
      <c r="P147" s="45">
        <v>0.2009</v>
      </c>
      <c r="Q147" s="12">
        <f t="shared" si="13"/>
        <v>56396519825</v>
      </c>
      <c r="R147" s="12">
        <f t="shared" si="13"/>
        <v>57908521763.75</v>
      </c>
      <c r="S147" s="13"/>
    </row>
    <row r="148" spans="1:19" ht="26.25" customHeight="1" x14ac:dyDescent="0.2">
      <c r="A148" s="100"/>
      <c r="B148" s="23">
        <v>144</v>
      </c>
      <c r="C148" s="20" t="s">
        <v>40</v>
      </c>
      <c r="D148" s="21" t="s">
        <v>41</v>
      </c>
      <c r="E148" s="38">
        <v>38896</v>
      </c>
      <c r="F148" s="38">
        <f>+E148+G148</f>
        <v>38954</v>
      </c>
      <c r="G148" s="36">
        <v>58</v>
      </c>
      <c r="H148" s="36" t="s">
        <v>0</v>
      </c>
      <c r="I148" s="9">
        <v>2000000000</v>
      </c>
      <c r="J148" s="43">
        <v>0</v>
      </c>
      <c r="K148" s="9">
        <f t="shared" si="11"/>
        <v>2000000000</v>
      </c>
      <c r="L148" s="9">
        <v>1995000000</v>
      </c>
      <c r="M148" s="9">
        <v>2063934952</v>
      </c>
      <c r="N148" s="43">
        <f t="shared" si="12"/>
        <v>0.99750000000000005</v>
      </c>
      <c r="O148" s="43">
        <v>0.219</v>
      </c>
      <c r="P148" s="43">
        <v>0.2145</v>
      </c>
      <c r="Q148" s="9">
        <v>54489285075</v>
      </c>
      <c r="R148" s="12">
        <v>56008343570.650002</v>
      </c>
      <c r="S148" s="13"/>
    </row>
    <row r="149" spans="1:19" ht="26.25" customHeight="1" x14ac:dyDescent="0.2">
      <c r="A149" s="100"/>
      <c r="B149" s="24">
        <v>145</v>
      </c>
      <c r="C149" s="20" t="s">
        <v>40</v>
      </c>
      <c r="D149" s="21" t="s">
        <v>41</v>
      </c>
      <c r="E149" s="46">
        <v>38896</v>
      </c>
      <c r="F149" s="46">
        <f>+E149+G149</f>
        <v>38910</v>
      </c>
      <c r="G149" s="39">
        <v>14</v>
      </c>
      <c r="H149" s="39" t="s">
        <v>0</v>
      </c>
      <c r="I149" s="12">
        <v>4000000000</v>
      </c>
      <c r="J149" s="45">
        <v>0</v>
      </c>
      <c r="K149" s="12">
        <f t="shared" si="11"/>
        <v>4000000000</v>
      </c>
      <c r="L149" s="12">
        <v>1967000000</v>
      </c>
      <c r="M149" s="12">
        <v>1982322628.9000001</v>
      </c>
      <c r="N149" s="45">
        <f t="shared" si="12"/>
        <v>0.49175000000000002</v>
      </c>
      <c r="O149" s="45">
        <v>0.20300000000000001</v>
      </c>
      <c r="P149" s="45">
        <v>0.20030000000000001</v>
      </c>
      <c r="Q149" s="12">
        <v>56456285075</v>
      </c>
      <c r="R149" s="12">
        <v>57990666199.550003</v>
      </c>
      <c r="S149" s="13"/>
    </row>
    <row r="150" spans="1:19" ht="26.25" customHeight="1" x14ac:dyDescent="0.2">
      <c r="A150" s="100"/>
      <c r="B150" s="23">
        <v>146</v>
      </c>
      <c r="C150" s="20" t="s">
        <v>40</v>
      </c>
      <c r="D150" s="21" t="s">
        <v>41</v>
      </c>
      <c r="E150" s="38">
        <v>38898</v>
      </c>
      <c r="F150" s="38">
        <v>38959</v>
      </c>
      <c r="G150" s="36">
        <v>61</v>
      </c>
      <c r="H150" s="36" t="s">
        <v>0</v>
      </c>
      <c r="I150" s="9">
        <v>2000000000</v>
      </c>
      <c r="J150" s="43">
        <v>0</v>
      </c>
      <c r="K150" s="9">
        <v>2000000000</v>
      </c>
      <c r="L150" s="9">
        <v>1780000000</v>
      </c>
      <c r="M150" s="9">
        <v>1844575277</v>
      </c>
      <c r="N150" s="43">
        <v>0.89</v>
      </c>
      <c r="O150" s="43">
        <v>0.21890000000000001</v>
      </c>
      <c r="P150" s="43">
        <v>0.21410000000000001</v>
      </c>
      <c r="Q150" s="9">
        <v>53851285075</v>
      </c>
      <c r="R150" s="9">
        <v>55369987983.550003</v>
      </c>
      <c r="S150" s="13"/>
    </row>
    <row r="151" spans="1:19" ht="26.25" customHeight="1" x14ac:dyDescent="0.2">
      <c r="A151" s="100"/>
      <c r="B151" s="24">
        <v>147</v>
      </c>
      <c r="C151" s="20" t="s">
        <v>40</v>
      </c>
      <c r="D151" s="21" t="s">
        <v>41</v>
      </c>
      <c r="E151" s="46">
        <v>38898</v>
      </c>
      <c r="F151" s="46">
        <v>38912</v>
      </c>
      <c r="G151" s="39">
        <v>14</v>
      </c>
      <c r="H151" s="36" t="s">
        <v>0</v>
      </c>
      <c r="I151" s="12">
        <v>4000000000</v>
      </c>
      <c r="J151" s="45">
        <v>0</v>
      </c>
      <c r="K151" s="12">
        <v>4000000000</v>
      </c>
      <c r="L151" s="12">
        <v>2130000000</v>
      </c>
      <c r="M151" s="12">
        <v>2146555276</v>
      </c>
      <c r="N151" s="45">
        <v>0.53249999999999997</v>
      </c>
      <c r="O151" s="45">
        <v>0.20599999999999999</v>
      </c>
      <c r="P151" s="45">
        <v>0.19989999999999999</v>
      </c>
      <c r="Q151" s="12">
        <v>55981285075</v>
      </c>
      <c r="R151" s="12">
        <v>57516543259.550003</v>
      </c>
      <c r="S151" s="13"/>
    </row>
    <row r="152" spans="1:19" ht="26.25" customHeight="1" x14ac:dyDescent="0.2">
      <c r="A152" s="100"/>
      <c r="B152" s="23">
        <v>148</v>
      </c>
      <c r="C152" s="20" t="s">
        <v>40</v>
      </c>
      <c r="D152" s="21" t="s">
        <v>41</v>
      </c>
      <c r="E152" s="38">
        <v>38903</v>
      </c>
      <c r="F152" s="38">
        <f>+E152+G152</f>
        <v>38961</v>
      </c>
      <c r="G152" s="36">
        <v>58</v>
      </c>
      <c r="H152" s="51" t="s">
        <v>0</v>
      </c>
      <c r="I152" s="9">
        <v>3000000000</v>
      </c>
      <c r="J152" s="43">
        <v>0</v>
      </c>
      <c r="K152" s="9">
        <f>I152*(1+J152)</f>
        <v>3000000000</v>
      </c>
      <c r="L152" s="9">
        <v>3000000000</v>
      </c>
      <c r="M152" s="9">
        <v>3103351400</v>
      </c>
      <c r="N152" s="43">
        <f>L152/K152</f>
        <v>1</v>
      </c>
      <c r="O152" s="43">
        <v>0.2175</v>
      </c>
      <c r="P152" s="43">
        <v>0.21379999999999999</v>
      </c>
      <c r="Q152" s="9">
        <f>Q151-L140-L139-L103+L152</f>
        <v>49408413075</v>
      </c>
      <c r="R152" s="12">
        <f>R151-M140-M139-M103+M152</f>
        <v>50869651809.25</v>
      </c>
      <c r="S152" s="13"/>
    </row>
    <row r="153" spans="1:19" ht="26.25" customHeight="1" x14ac:dyDescent="0.2">
      <c r="A153" s="100"/>
      <c r="B153" s="24">
        <v>149</v>
      </c>
      <c r="C153" s="20" t="s">
        <v>40</v>
      </c>
      <c r="D153" s="21" t="s">
        <v>41</v>
      </c>
      <c r="E153" s="46">
        <v>38903</v>
      </c>
      <c r="F153" s="46">
        <f>+E153+G153</f>
        <v>38917</v>
      </c>
      <c r="G153" s="39">
        <v>14</v>
      </c>
      <c r="H153" s="39" t="s">
        <v>1</v>
      </c>
      <c r="I153" s="12">
        <v>8000000000</v>
      </c>
      <c r="J153" s="45">
        <v>4.4999999999999997E-3</v>
      </c>
      <c r="K153" s="12">
        <f>I153*(1+J153)</f>
        <v>8036000000</v>
      </c>
      <c r="L153" s="12">
        <v>4235976500</v>
      </c>
      <c r="M153" s="12">
        <v>4269137122</v>
      </c>
      <c r="N153" s="45">
        <f>L153/K153</f>
        <v>0.52712499999999995</v>
      </c>
      <c r="O153" s="45">
        <v>0.20499999999999999</v>
      </c>
      <c r="P153" s="45">
        <v>0.20130000000000001</v>
      </c>
      <c r="Q153" s="12">
        <f>Q152+L153</f>
        <v>53644389575</v>
      </c>
      <c r="R153" s="12">
        <f>R152+M153</f>
        <v>55138788931.25</v>
      </c>
      <c r="S153" s="13"/>
    </row>
    <row r="154" spans="1:19" ht="26.25" customHeight="1" x14ac:dyDescent="0.2">
      <c r="A154" s="100"/>
      <c r="B154" s="23">
        <v>150</v>
      </c>
      <c r="C154" s="20" t="s">
        <v>40</v>
      </c>
      <c r="D154" s="21" t="s">
        <v>41</v>
      </c>
      <c r="E154" s="38">
        <v>38905</v>
      </c>
      <c r="F154" s="38">
        <v>38966</v>
      </c>
      <c r="G154" s="36">
        <v>61</v>
      </c>
      <c r="H154" s="36" t="s">
        <v>0</v>
      </c>
      <c r="I154" s="9">
        <v>3000000000</v>
      </c>
      <c r="J154" s="43">
        <v>0</v>
      </c>
      <c r="K154" s="9">
        <v>3000000000</v>
      </c>
      <c r="L154" s="9">
        <v>3000000000</v>
      </c>
      <c r="M154" s="9">
        <v>3108497334.4000001</v>
      </c>
      <c r="N154" s="43">
        <v>1</v>
      </c>
      <c r="O154" s="43">
        <v>0.214</v>
      </c>
      <c r="P154" s="43">
        <v>0.21340000000000001</v>
      </c>
      <c r="Q154" s="9">
        <v>46217389575</v>
      </c>
      <c r="R154" s="9">
        <v>47593034980.550003</v>
      </c>
      <c r="S154" s="13"/>
    </row>
    <row r="155" spans="1:19" ht="26.25" customHeight="1" x14ac:dyDescent="0.2">
      <c r="A155" s="100"/>
      <c r="B155" s="24">
        <v>151</v>
      </c>
      <c r="C155" s="20" t="s">
        <v>40</v>
      </c>
      <c r="D155" s="21" t="s">
        <v>41</v>
      </c>
      <c r="E155" s="46">
        <v>38905</v>
      </c>
      <c r="F155" s="46">
        <v>38919</v>
      </c>
      <c r="G155" s="39">
        <v>14</v>
      </c>
      <c r="H155" s="39" t="s">
        <v>0</v>
      </c>
      <c r="I155" s="12">
        <v>8000000000</v>
      </c>
      <c r="J155" s="45">
        <v>0</v>
      </c>
      <c r="K155" s="12">
        <v>8000000000</v>
      </c>
      <c r="L155" s="12">
        <v>4025000000</v>
      </c>
      <c r="M155" s="12">
        <v>4056577015.5</v>
      </c>
      <c r="N155" s="45">
        <v>0.50312500000000004</v>
      </c>
      <c r="O155" s="45">
        <v>0.20499999999999999</v>
      </c>
      <c r="P155" s="45">
        <v>0.20169999999999999</v>
      </c>
      <c r="Q155" s="12">
        <v>50242389575</v>
      </c>
      <c r="R155" s="12">
        <v>51649611996.050003</v>
      </c>
      <c r="S155" s="13"/>
    </row>
    <row r="156" spans="1:19" ht="26.25" customHeight="1" x14ac:dyDescent="0.2">
      <c r="A156" s="100"/>
      <c r="B156" s="23">
        <v>152</v>
      </c>
      <c r="C156" s="20" t="s">
        <v>40</v>
      </c>
      <c r="D156" s="21" t="s">
        <v>41</v>
      </c>
      <c r="E156" s="38">
        <v>38908</v>
      </c>
      <c r="F156" s="38">
        <f t="shared" ref="F156:F162" si="14">+E156+G156</f>
        <v>38966</v>
      </c>
      <c r="G156" s="36">
        <v>58</v>
      </c>
      <c r="H156" s="36" t="s">
        <v>0</v>
      </c>
      <c r="I156" s="9">
        <v>1000000000</v>
      </c>
      <c r="J156" s="43">
        <v>0</v>
      </c>
      <c r="K156" s="9">
        <f t="shared" ref="K156:K162" si="15">I156*(1+J156)</f>
        <v>1000000000</v>
      </c>
      <c r="L156" s="9">
        <v>360000000</v>
      </c>
      <c r="M156" s="9">
        <v>372394606</v>
      </c>
      <c r="N156" s="43">
        <f t="shared" ref="N156:N162" si="16">L156/K156</f>
        <v>0.36</v>
      </c>
      <c r="O156" s="43">
        <v>0.21590000000000001</v>
      </c>
      <c r="P156" s="43">
        <v>0.2137</v>
      </c>
      <c r="Q156" s="9">
        <f>Q155+L156</f>
        <v>50602389575</v>
      </c>
      <c r="R156" s="9">
        <f>R155+M156</f>
        <v>52022006602.050003</v>
      </c>
      <c r="S156" s="13"/>
    </row>
    <row r="157" spans="1:19" ht="26.25" customHeight="1" x14ac:dyDescent="0.2">
      <c r="A157" s="100"/>
      <c r="B157" s="24">
        <v>153</v>
      </c>
      <c r="C157" s="20" t="s">
        <v>40</v>
      </c>
      <c r="D157" s="21" t="s">
        <v>41</v>
      </c>
      <c r="E157" s="46">
        <v>38908</v>
      </c>
      <c r="F157" s="46">
        <f t="shared" si="14"/>
        <v>38924</v>
      </c>
      <c r="G157" s="39">
        <v>16</v>
      </c>
      <c r="H157" s="39" t="s">
        <v>0</v>
      </c>
      <c r="I157" s="12">
        <v>2000000000</v>
      </c>
      <c r="J157" s="45">
        <v>0</v>
      </c>
      <c r="K157" s="12">
        <f t="shared" si="15"/>
        <v>2000000000</v>
      </c>
      <c r="L157" s="12">
        <v>232000000</v>
      </c>
      <c r="M157" s="12">
        <v>234074553.80000001</v>
      </c>
      <c r="N157" s="45">
        <f t="shared" si="16"/>
        <v>0.11600000000000001</v>
      </c>
      <c r="O157" s="45">
        <v>0.20499999999999999</v>
      </c>
      <c r="P157" s="45">
        <v>0.20119999999999999</v>
      </c>
      <c r="Q157" s="12">
        <f>Q156+L157</f>
        <v>50834389575</v>
      </c>
      <c r="R157" s="12">
        <f>R156+M157</f>
        <v>52256081155.850006</v>
      </c>
      <c r="S157" s="13"/>
    </row>
    <row r="158" spans="1:19" ht="26.25" customHeight="1" x14ac:dyDescent="0.2">
      <c r="A158" s="100"/>
      <c r="B158" s="23">
        <v>154</v>
      </c>
      <c r="C158" s="20" t="s">
        <v>40</v>
      </c>
      <c r="D158" s="21" t="s">
        <v>41</v>
      </c>
      <c r="E158" s="38">
        <v>38910</v>
      </c>
      <c r="F158" s="38">
        <f t="shared" si="14"/>
        <v>38968</v>
      </c>
      <c r="G158" s="36">
        <v>58</v>
      </c>
      <c r="H158" s="36" t="s">
        <v>0</v>
      </c>
      <c r="I158" s="9">
        <v>2000000000</v>
      </c>
      <c r="J158" s="43">
        <v>0</v>
      </c>
      <c r="K158" s="9">
        <f t="shared" si="15"/>
        <v>2000000000</v>
      </c>
      <c r="L158" s="9">
        <v>1982800000</v>
      </c>
      <c r="M158" s="9">
        <v>2050756926.24</v>
      </c>
      <c r="N158" s="43">
        <f t="shared" si="16"/>
        <v>0.99139999999999995</v>
      </c>
      <c r="O158" s="43">
        <v>0.21540000000000001</v>
      </c>
      <c r="P158" s="43">
        <v>0.2127</v>
      </c>
      <c r="Q158" s="9">
        <f>Q157-315000000+L158</f>
        <v>52502189575</v>
      </c>
      <c r="R158" s="9">
        <f>R157-327767638+M158</f>
        <v>53979070444.090004</v>
      </c>
      <c r="S158" s="13"/>
    </row>
    <row r="159" spans="1:19" ht="26.25" customHeight="1" x14ac:dyDescent="0.2">
      <c r="A159" s="100"/>
      <c r="B159" s="24">
        <v>155</v>
      </c>
      <c r="C159" s="20" t="s">
        <v>40</v>
      </c>
      <c r="D159" s="21" t="s">
        <v>41</v>
      </c>
      <c r="E159" s="46">
        <v>38910</v>
      </c>
      <c r="F159" s="46">
        <f t="shared" si="14"/>
        <v>38924</v>
      </c>
      <c r="G159" s="39">
        <v>14</v>
      </c>
      <c r="H159" s="39" t="s">
        <v>0</v>
      </c>
      <c r="I159" s="12">
        <v>4000000000</v>
      </c>
      <c r="J159" s="45">
        <v>0</v>
      </c>
      <c r="K159" s="12">
        <f t="shared" si="15"/>
        <v>4000000000</v>
      </c>
      <c r="L159" s="12">
        <v>1767600000</v>
      </c>
      <c r="M159" s="12">
        <v>1781409676.48</v>
      </c>
      <c r="N159" s="45">
        <f t="shared" si="16"/>
        <v>0.44190000000000002</v>
      </c>
      <c r="O159" s="45">
        <v>0.20499999999999999</v>
      </c>
      <c r="P159" s="45">
        <v>0.2009</v>
      </c>
      <c r="Q159" s="12">
        <f>Q158-2234913075-980000000-1967000000+L159</f>
        <v>49087876500</v>
      </c>
      <c r="R159" s="12">
        <f>R158-2254672546.55-988202330-1982322628.9+1781409676.48</f>
        <v>50535282615.120003</v>
      </c>
      <c r="S159" s="13"/>
    </row>
    <row r="160" spans="1:19" ht="26.25" customHeight="1" x14ac:dyDescent="0.2">
      <c r="A160" s="100"/>
      <c r="B160" s="23">
        <v>156</v>
      </c>
      <c r="C160" s="20" t="s">
        <v>40</v>
      </c>
      <c r="D160" s="21" t="s">
        <v>41</v>
      </c>
      <c r="E160" s="38">
        <v>38912</v>
      </c>
      <c r="F160" s="38">
        <f t="shared" si="14"/>
        <v>38973</v>
      </c>
      <c r="G160" s="36">
        <v>61</v>
      </c>
      <c r="H160" s="36" t="s">
        <v>0</v>
      </c>
      <c r="I160" s="9">
        <v>2000000000</v>
      </c>
      <c r="J160" s="43">
        <v>0</v>
      </c>
      <c r="K160" s="9">
        <f t="shared" si="15"/>
        <v>2000000000</v>
      </c>
      <c r="L160" s="9">
        <v>1573000000</v>
      </c>
      <c r="M160" s="9">
        <v>1629607125.5999999</v>
      </c>
      <c r="N160" s="43">
        <f t="shared" si="16"/>
        <v>0.78649999999999998</v>
      </c>
      <c r="O160" s="43">
        <v>0.215</v>
      </c>
      <c r="P160" s="43">
        <v>0.21240000000000001</v>
      </c>
      <c r="Q160" s="9">
        <f>Q159-1500000000+1573000000</f>
        <v>49160876500</v>
      </c>
      <c r="R160" s="9">
        <f>R159-1557717753+1629607125.6</f>
        <v>50607171987.720001</v>
      </c>
      <c r="S160" s="13"/>
    </row>
    <row r="161" spans="1:19" ht="26.25" customHeight="1" x14ac:dyDescent="0.2">
      <c r="A161" s="100"/>
      <c r="B161" s="23">
        <v>157</v>
      </c>
      <c r="C161" s="20" t="s">
        <v>40</v>
      </c>
      <c r="D161" s="21" t="s">
        <v>41</v>
      </c>
      <c r="E161" s="38">
        <v>38912</v>
      </c>
      <c r="F161" s="38">
        <f t="shared" si="14"/>
        <v>38926</v>
      </c>
      <c r="G161" s="36">
        <v>14</v>
      </c>
      <c r="H161" s="36" t="s">
        <v>0</v>
      </c>
      <c r="I161" s="9">
        <v>4000000000</v>
      </c>
      <c r="J161" s="43">
        <v>0</v>
      </c>
      <c r="K161" s="9">
        <f t="shared" si="15"/>
        <v>4000000000</v>
      </c>
      <c r="L161" s="9">
        <v>770000000</v>
      </c>
      <c r="M161" s="9">
        <v>776037239</v>
      </c>
      <c r="N161" s="43">
        <f t="shared" si="16"/>
        <v>0.1925</v>
      </c>
      <c r="O161" s="43">
        <v>0.20499999999999999</v>
      </c>
      <c r="P161" s="43">
        <v>0.2016</v>
      </c>
      <c r="Q161" s="9">
        <f>Q160-2130000000+770000000</f>
        <v>47800876500</v>
      </c>
      <c r="R161" s="9">
        <f>R160-2146555276+776037239</f>
        <v>49236653950.720001</v>
      </c>
      <c r="S161" s="13"/>
    </row>
    <row r="162" spans="1:19" ht="26.25" customHeight="1" x14ac:dyDescent="0.2">
      <c r="A162" s="100"/>
      <c r="B162" s="25">
        <v>158</v>
      </c>
      <c r="C162" s="20" t="s">
        <v>40</v>
      </c>
      <c r="D162" s="21" t="s">
        <v>41</v>
      </c>
      <c r="E162" s="44">
        <v>38915</v>
      </c>
      <c r="F162" s="44">
        <f t="shared" si="14"/>
        <v>38931</v>
      </c>
      <c r="G162" s="51">
        <v>16</v>
      </c>
      <c r="H162" s="51" t="s">
        <v>0</v>
      </c>
      <c r="I162" s="14">
        <v>2000000000</v>
      </c>
      <c r="J162" s="52">
        <v>0</v>
      </c>
      <c r="K162" s="14">
        <f t="shared" si="15"/>
        <v>2000000000</v>
      </c>
      <c r="L162" s="14">
        <v>755000000</v>
      </c>
      <c r="M162" s="14">
        <v>761773984.5</v>
      </c>
      <c r="N162" s="52">
        <f t="shared" si="16"/>
        <v>0.3775</v>
      </c>
      <c r="O162" s="52">
        <v>0.20499999999999999</v>
      </c>
      <c r="P162" s="52">
        <v>0.2019</v>
      </c>
      <c r="Q162" s="14">
        <f>47800876500+755000000</f>
        <v>48555876500</v>
      </c>
      <c r="R162" s="14">
        <f>49236653950.72+761773984.5</f>
        <v>49998427935.220001</v>
      </c>
      <c r="S162" s="13"/>
    </row>
    <row r="163" spans="1:19" ht="26.25" customHeight="1" x14ac:dyDescent="0.2">
      <c r="A163" s="100"/>
      <c r="B163" s="23">
        <v>159</v>
      </c>
      <c r="C163" s="20" t="s">
        <v>40</v>
      </c>
      <c r="D163" s="21" t="s">
        <v>41</v>
      </c>
      <c r="E163" s="38">
        <v>38917</v>
      </c>
      <c r="F163" s="38">
        <v>38975</v>
      </c>
      <c r="G163" s="36">
        <v>58</v>
      </c>
      <c r="H163" s="36" t="s">
        <v>0</v>
      </c>
      <c r="I163" s="9">
        <v>3000000000</v>
      </c>
      <c r="J163" s="43">
        <v>0</v>
      </c>
      <c r="K163" s="9">
        <v>3000000000</v>
      </c>
      <c r="L163" s="9">
        <v>3000000000</v>
      </c>
      <c r="M163" s="9">
        <v>3102489282.5</v>
      </c>
      <c r="N163" s="43">
        <v>1</v>
      </c>
      <c r="O163" s="43">
        <v>0.21299999999999999</v>
      </c>
      <c r="P163" s="43">
        <v>0.21199999999999999</v>
      </c>
      <c r="Q163" s="9">
        <v>45497900000</v>
      </c>
      <c r="R163" s="9">
        <v>46936077809.520004</v>
      </c>
      <c r="S163" s="13"/>
    </row>
    <row r="164" spans="1:19" ht="26.25" customHeight="1" x14ac:dyDescent="0.2">
      <c r="A164" s="100"/>
      <c r="B164" s="24">
        <v>160</v>
      </c>
      <c r="C164" s="20" t="s">
        <v>40</v>
      </c>
      <c r="D164" s="21" t="s">
        <v>41</v>
      </c>
      <c r="E164" s="46">
        <v>38917</v>
      </c>
      <c r="F164" s="46">
        <v>38931</v>
      </c>
      <c r="G164" s="39">
        <v>14</v>
      </c>
      <c r="H164" s="39" t="s">
        <v>1</v>
      </c>
      <c r="I164" s="12">
        <v>6000000000</v>
      </c>
      <c r="J164" s="45">
        <v>8.0000000000000002E-3</v>
      </c>
      <c r="K164" s="12">
        <v>6048000000</v>
      </c>
      <c r="L164" s="12">
        <v>3919104000</v>
      </c>
      <c r="M164" s="12">
        <v>3949918455</v>
      </c>
      <c r="N164" s="45">
        <v>0.64800000000000002</v>
      </c>
      <c r="O164" s="45">
        <v>0.20499999999999999</v>
      </c>
      <c r="P164" s="45">
        <v>0.20219999999999999</v>
      </c>
      <c r="Q164" s="12">
        <v>49417004000</v>
      </c>
      <c r="R164" s="12">
        <v>50885996264.520004</v>
      </c>
      <c r="S164" s="13"/>
    </row>
    <row r="165" spans="1:19" ht="26.25" customHeight="1" x14ac:dyDescent="0.2">
      <c r="A165" s="100"/>
      <c r="B165" s="24">
        <v>161</v>
      </c>
      <c r="C165" s="20" t="s">
        <v>40</v>
      </c>
      <c r="D165" s="21" t="s">
        <v>41</v>
      </c>
      <c r="E165" s="46">
        <v>38918</v>
      </c>
      <c r="F165" s="46">
        <v>38933</v>
      </c>
      <c r="G165" s="39">
        <v>15</v>
      </c>
      <c r="H165" s="39" t="s">
        <v>0</v>
      </c>
      <c r="I165" s="12">
        <v>3000000000</v>
      </c>
      <c r="J165" s="45">
        <v>0</v>
      </c>
      <c r="K165" s="12">
        <v>3000000000</v>
      </c>
      <c r="L165" s="12">
        <v>665000000</v>
      </c>
      <c r="M165" s="12">
        <v>670619193</v>
      </c>
      <c r="N165" s="45">
        <v>0.22166666666666668</v>
      </c>
      <c r="O165" s="45">
        <v>0.20499999999999999</v>
      </c>
      <c r="P165" s="45">
        <v>0.20280000000000001</v>
      </c>
      <c r="Q165" s="12">
        <v>50082004000</v>
      </c>
      <c r="R165" s="12">
        <v>51556615457.519997</v>
      </c>
      <c r="S165" s="13"/>
    </row>
    <row r="166" spans="1:19" ht="26.25" customHeight="1" x14ac:dyDescent="0.2">
      <c r="A166" s="100"/>
      <c r="B166" s="23">
        <v>162</v>
      </c>
      <c r="C166" s="20" t="s">
        <v>40</v>
      </c>
      <c r="D166" s="21" t="s">
        <v>41</v>
      </c>
      <c r="E166" s="38">
        <v>38919</v>
      </c>
      <c r="F166" s="38">
        <f>+E166+G166</f>
        <v>38980</v>
      </c>
      <c r="G166" s="36">
        <v>61</v>
      </c>
      <c r="H166" s="36" t="s">
        <v>0</v>
      </c>
      <c r="I166" s="9">
        <v>2000000000</v>
      </c>
      <c r="J166" s="43">
        <v>0</v>
      </c>
      <c r="K166" s="9">
        <v>2000000000</v>
      </c>
      <c r="L166" s="9">
        <v>2000000000</v>
      </c>
      <c r="M166" s="9">
        <v>2071300183.5</v>
      </c>
      <c r="N166" s="43">
        <f>+L166/K166</f>
        <v>1</v>
      </c>
      <c r="O166" s="43">
        <v>0.21099999999999999</v>
      </c>
      <c r="P166" s="43">
        <v>0.2104</v>
      </c>
      <c r="Q166" s="9">
        <f>+Q165+L166-L155-L117-L115</f>
        <v>45462004000</v>
      </c>
      <c r="R166" s="9">
        <f>+R165+M166-M155-M117-M115</f>
        <v>46875848877.019997</v>
      </c>
      <c r="S166" s="13"/>
    </row>
    <row r="167" spans="1:19" ht="26.25" customHeight="1" x14ac:dyDescent="0.2">
      <c r="A167" s="100"/>
      <c r="B167" s="24">
        <v>163</v>
      </c>
      <c r="C167" s="20" t="s">
        <v>40</v>
      </c>
      <c r="D167" s="21" t="s">
        <v>41</v>
      </c>
      <c r="E167" s="46">
        <v>38919</v>
      </c>
      <c r="F167" s="46">
        <f>+E167+G167</f>
        <v>38933</v>
      </c>
      <c r="G167" s="39">
        <v>14</v>
      </c>
      <c r="H167" s="39" t="s">
        <v>1</v>
      </c>
      <c r="I167" s="12">
        <v>6000000000</v>
      </c>
      <c r="J167" s="45">
        <v>8.5000000000000006E-3</v>
      </c>
      <c r="K167" s="12">
        <v>6051000000</v>
      </c>
      <c r="L167" s="12">
        <v>5871890400</v>
      </c>
      <c r="M167" s="12">
        <v>5918031572.6000004</v>
      </c>
      <c r="N167" s="45">
        <f>+L167/K167</f>
        <v>0.97040000000000004</v>
      </c>
      <c r="O167" s="45">
        <v>0.20499999999999999</v>
      </c>
      <c r="P167" s="45">
        <v>0.2021</v>
      </c>
      <c r="Q167" s="12">
        <f>+Q166+L167</f>
        <v>51333894400</v>
      </c>
      <c r="R167" s="12">
        <f>+R166+M167</f>
        <v>52793880449.619995</v>
      </c>
      <c r="S167" s="13"/>
    </row>
    <row r="168" spans="1:19" ht="26.25" customHeight="1" x14ac:dyDescent="0.2">
      <c r="A168" s="100"/>
      <c r="B168" s="23">
        <v>164</v>
      </c>
      <c r="C168" s="20" t="s">
        <v>40</v>
      </c>
      <c r="D168" s="21" t="s">
        <v>41</v>
      </c>
      <c r="E168" s="38">
        <v>38924</v>
      </c>
      <c r="F168" s="38">
        <v>38982</v>
      </c>
      <c r="G168" s="36">
        <v>58</v>
      </c>
      <c r="H168" s="36" t="s">
        <v>0</v>
      </c>
      <c r="I168" s="9">
        <v>2500000000</v>
      </c>
      <c r="J168" s="43">
        <v>0</v>
      </c>
      <c r="K168" s="9">
        <v>2500000000</v>
      </c>
      <c r="L168" s="9">
        <v>2500000000</v>
      </c>
      <c r="M168" s="9">
        <v>2584485562.5</v>
      </c>
      <c r="N168" s="43">
        <v>1</v>
      </c>
      <c r="O168" s="43">
        <v>0.2198</v>
      </c>
      <c r="P168" s="43">
        <v>0.20979999999999999</v>
      </c>
      <c r="Q168" s="9">
        <v>50674294400</v>
      </c>
      <c r="R168" s="9">
        <v>52155960909.839996</v>
      </c>
      <c r="S168" s="13"/>
    </row>
    <row r="169" spans="1:19" ht="26.25" customHeight="1" x14ac:dyDescent="0.2">
      <c r="A169" s="100"/>
      <c r="B169" s="24">
        <v>165</v>
      </c>
      <c r="C169" s="20" t="s">
        <v>40</v>
      </c>
      <c r="D169" s="21" t="s">
        <v>41</v>
      </c>
      <c r="E169" s="46">
        <v>38924</v>
      </c>
      <c r="F169" s="46">
        <v>38938</v>
      </c>
      <c r="G169" s="39">
        <v>14</v>
      </c>
      <c r="H169" s="39" t="s">
        <v>0</v>
      </c>
      <c r="I169" s="12">
        <v>6000000000</v>
      </c>
      <c r="J169" s="45">
        <v>0</v>
      </c>
      <c r="K169" s="12">
        <v>6000000000</v>
      </c>
      <c r="L169" s="12">
        <v>6000000000</v>
      </c>
      <c r="M169" s="12">
        <v>6046733287.7200003</v>
      </c>
      <c r="N169" s="45">
        <v>1</v>
      </c>
      <c r="O169" s="45">
        <v>0.20030000000000001</v>
      </c>
      <c r="P169" s="45">
        <v>0.20030000000000001</v>
      </c>
      <c r="Q169" s="12">
        <v>56674294400</v>
      </c>
      <c r="R169" s="12">
        <v>58202694197.559998</v>
      </c>
      <c r="S169" s="13"/>
    </row>
    <row r="170" spans="1:19" ht="26.25" customHeight="1" x14ac:dyDescent="0.2">
      <c r="A170" s="100"/>
      <c r="B170" s="24">
        <v>166</v>
      </c>
      <c r="C170" s="20" t="s">
        <v>40</v>
      </c>
      <c r="D170" s="21" t="s">
        <v>41</v>
      </c>
      <c r="E170" s="46">
        <v>38925</v>
      </c>
      <c r="F170" s="46">
        <v>38940</v>
      </c>
      <c r="G170" s="39">
        <v>15</v>
      </c>
      <c r="H170" s="39" t="s">
        <v>0</v>
      </c>
      <c r="I170" s="12">
        <v>3500000000</v>
      </c>
      <c r="J170" s="45">
        <v>0</v>
      </c>
      <c r="K170" s="12">
        <v>3500000000</v>
      </c>
      <c r="L170" s="12">
        <v>980000000</v>
      </c>
      <c r="M170" s="12">
        <v>988200521</v>
      </c>
      <c r="N170" s="45">
        <v>0.28000000000000003</v>
      </c>
      <c r="O170" s="45">
        <v>0.20200000000000001</v>
      </c>
      <c r="P170" s="45">
        <v>0.20080000000000001</v>
      </c>
      <c r="Q170" s="12">
        <v>57654294400</v>
      </c>
      <c r="R170" s="12">
        <v>59190894718.559998</v>
      </c>
      <c r="S170" s="13"/>
    </row>
    <row r="171" spans="1:19" ht="26.25" customHeight="1" x14ac:dyDescent="0.2">
      <c r="A171" s="100"/>
      <c r="B171" s="23">
        <v>167</v>
      </c>
      <c r="C171" s="20" t="s">
        <v>40</v>
      </c>
      <c r="D171" s="21" t="s">
        <v>41</v>
      </c>
      <c r="E171" s="38">
        <v>38926</v>
      </c>
      <c r="F171" s="38">
        <v>38987</v>
      </c>
      <c r="G171" s="36">
        <v>61</v>
      </c>
      <c r="H171" s="36" t="s">
        <v>0</v>
      </c>
      <c r="I171" s="9">
        <v>1500000000</v>
      </c>
      <c r="J171" s="43">
        <v>0</v>
      </c>
      <c r="K171" s="9">
        <v>1500000000</v>
      </c>
      <c r="L171" s="9">
        <v>780000000</v>
      </c>
      <c r="M171" s="9">
        <v>807629112</v>
      </c>
      <c r="N171" s="43">
        <v>0.52</v>
      </c>
      <c r="O171" s="43">
        <v>0.21</v>
      </c>
      <c r="P171" s="43">
        <v>0.20899999999999999</v>
      </c>
      <c r="Q171" s="9">
        <v>56664294400</v>
      </c>
      <c r="R171" s="9">
        <v>58182837425.559998</v>
      </c>
      <c r="S171" s="13"/>
    </row>
    <row r="172" spans="1:19" ht="26.25" customHeight="1" x14ac:dyDescent="0.2">
      <c r="A172" s="100"/>
      <c r="B172" s="24">
        <v>168</v>
      </c>
      <c r="C172" s="20" t="s">
        <v>40</v>
      </c>
      <c r="D172" s="21" t="s">
        <v>41</v>
      </c>
      <c r="E172" s="46">
        <v>38926</v>
      </c>
      <c r="F172" s="46">
        <v>38940</v>
      </c>
      <c r="G172" s="39">
        <v>14</v>
      </c>
      <c r="H172" s="39" t="s">
        <v>0</v>
      </c>
      <c r="I172" s="12">
        <v>3500000000</v>
      </c>
      <c r="J172" s="45">
        <v>0</v>
      </c>
      <c r="K172" s="12">
        <v>3500000000</v>
      </c>
      <c r="L172" s="12">
        <v>3500000000</v>
      </c>
      <c r="M172" s="12">
        <v>3527194225</v>
      </c>
      <c r="N172" s="45">
        <v>1</v>
      </c>
      <c r="O172" s="45">
        <v>0.20100000000000001</v>
      </c>
      <c r="P172" s="45">
        <v>0.19980000000000001</v>
      </c>
      <c r="Q172" s="12">
        <v>60164294400</v>
      </c>
      <c r="R172" s="12">
        <v>61710031650.559998</v>
      </c>
      <c r="S172" s="13"/>
    </row>
    <row r="173" spans="1:19" ht="26.25" customHeight="1" x14ac:dyDescent="0.2">
      <c r="A173" s="100"/>
      <c r="B173" s="23">
        <v>169</v>
      </c>
      <c r="C173" s="20" t="s">
        <v>40</v>
      </c>
      <c r="D173" s="21" t="s">
        <v>41</v>
      </c>
      <c r="E173" s="38">
        <v>38931</v>
      </c>
      <c r="F173" s="38">
        <v>38989</v>
      </c>
      <c r="G173" s="36">
        <v>58</v>
      </c>
      <c r="H173" s="36" t="s">
        <v>0</v>
      </c>
      <c r="I173" s="9">
        <v>2000000000</v>
      </c>
      <c r="J173" s="43">
        <v>0</v>
      </c>
      <c r="K173" s="9">
        <v>2000000000</v>
      </c>
      <c r="L173" s="9">
        <v>1995000000</v>
      </c>
      <c r="M173" s="9">
        <v>2061817465.5</v>
      </c>
      <c r="N173" s="43">
        <v>0.99750000000000005</v>
      </c>
      <c r="O173" s="43">
        <v>0.20899999999999999</v>
      </c>
      <c r="P173" s="43">
        <v>0.2079</v>
      </c>
      <c r="Q173" s="9">
        <v>56035190400</v>
      </c>
      <c r="R173" s="9">
        <v>57553838450.559998</v>
      </c>
      <c r="S173" s="13"/>
    </row>
    <row r="174" spans="1:19" ht="26.25" customHeight="1" x14ac:dyDescent="0.2">
      <c r="A174" s="100"/>
      <c r="B174" s="24">
        <v>170</v>
      </c>
      <c r="C174" s="20" t="s">
        <v>40</v>
      </c>
      <c r="D174" s="21" t="s">
        <v>41</v>
      </c>
      <c r="E174" s="46">
        <v>38931</v>
      </c>
      <c r="F174" s="46">
        <v>38945</v>
      </c>
      <c r="G174" s="39">
        <v>14</v>
      </c>
      <c r="H174" s="39" t="s">
        <v>0</v>
      </c>
      <c r="I174" s="12">
        <v>5000000000</v>
      </c>
      <c r="J174" s="45">
        <v>0</v>
      </c>
      <c r="K174" s="12">
        <v>5000000000</v>
      </c>
      <c r="L174" s="12">
        <v>5000000000</v>
      </c>
      <c r="M174" s="12">
        <v>5038670860.5</v>
      </c>
      <c r="N174" s="45">
        <v>1</v>
      </c>
      <c r="O174" s="45">
        <v>0.20050000000000001</v>
      </c>
      <c r="P174" s="45">
        <v>0.19889999999999999</v>
      </c>
      <c r="Q174" s="12">
        <v>61035190400</v>
      </c>
      <c r="R174" s="12">
        <v>62592509311.059998</v>
      </c>
      <c r="S174" s="13"/>
    </row>
    <row r="175" spans="1:19" ht="26.25" customHeight="1" x14ac:dyDescent="0.2">
      <c r="A175" s="100"/>
      <c r="B175" s="23">
        <v>171</v>
      </c>
      <c r="C175" s="20" t="s">
        <v>40</v>
      </c>
      <c r="D175" s="21" t="s">
        <v>41</v>
      </c>
      <c r="E175" s="38">
        <v>38933</v>
      </c>
      <c r="F175" s="38">
        <f t="shared" ref="F175:F197" si="17">+E175+G175</f>
        <v>38994</v>
      </c>
      <c r="G175" s="36">
        <v>61</v>
      </c>
      <c r="H175" s="39" t="s">
        <v>0</v>
      </c>
      <c r="I175" s="9">
        <v>2000000000</v>
      </c>
      <c r="J175" s="43">
        <v>0</v>
      </c>
      <c r="K175" s="9">
        <v>2000000000</v>
      </c>
      <c r="L175" s="9">
        <v>2000000000</v>
      </c>
      <c r="M175" s="9">
        <v>2070206510</v>
      </c>
      <c r="N175" s="43">
        <v>1</v>
      </c>
      <c r="O175" s="43">
        <v>0.2084</v>
      </c>
      <c r="P175" s="43">
        <v>0.2072</v>
      </c>
      <c r="Q175" s="9">
        <v>54518300000</v>
      </c>
      <c r="R175" s="9">
        <v>56021001610.459999</v>
      </c>
      <c r="S175" s="13"/>
    </row>
    <row r="176" spans="1:19" ht="26.25" customHeight="1" x14ac:dyDescent="0.2">
      <c r="A176" s="100"/>
      <c r="B176" s="24">
        <v>172</v>
      </c>
      <c r="C176" s="20" t="s">
        <v>40</v>
      </c>
      <c r="D176" s="21" t="s">
        <v>41</v>
      </c>
      <c r="E176" s="46">
        <v>38933</v>
      </c>
      <c r="F176" s="46">
        <f t="shared" si="17"/>
        <v>38947</v>
      </c>
      <c r="G176" s="39">
        <v>14</v>
      </c>
      <c r="H176" s="39" t="s">
        <v>0</v>
      </c>
      <c r="I176" s="12">
        <v>7000000000</v>
      </c>
      <c r="J176" s="45">
        <v>0</v>
      </c>
      <c r="K176" s="12">
        <v>7000000000</v>
      </c>
      <c r="L176" s="12">
        <v>6145000000</v>
      </c>
      <c r="M176" s="12">
        <v>6192470149.5</v>
      </c>
      <c r="N176" s="45">
        <v>0.87785714285714289</v>
      </c>
      <c r="O176" s="45">
        <v>0.2</v>
      </c>
      <c r="P176" s="45">
        <v>0.1986</v>
      </c>
      <c r="Q176" s="12">
        <v>60663300000</v>
      </c>
      <c r="R176" s="12">
        <v>62213471759.959999</v>
      </c>
      <c r="S176" s="13"/>
    </row>
    <row r="177" spans="1:19" ht="26.25" customHeight="1" x14ac:dyDescent="0.2">
      <c r="A177" s="100"/>
      <c r="B177" s="29">
        <v>173</v>
      </c>
      <c r="C177" s="20" t="s">
        <v>40</v>
      </c>
      <c r="D177" s="21" t="s">
        <v>41</v>
      </c>
      <c r="E177" s="46">
        <v>38936</v>
      </c>
      <c r="F177" s="46">
        <f t="shared" si="17"/>
        <v>38952</v>
      </c>
      <c r="G177" s="73">
        <v>16</v>
      </c>
      <c r="H177" s="39" t="s">
        <v>0</v>
      </c>
      <c r="I177" s="75">
        <v>2000000000</v>
      </c>
      <c r="J177" s="45">
        <v>0</v>
      </c>
      <c r="K177" s="12">
        <f>I177*(1+J177)</f>
        <v>2000000000</v>
      </c>
      <c r="L177" s="12">
        <v>715000000</v>
      </c>
      <c r="M177" s="12">
        <v>721310328.5</v>
      </c>
      <c r="N177" s="45">
        <f t="shared" ref="N177:N195" si="18">L177/K177</f>
        <v>0.35749999999999998</v>
      </c>
      <c r="O177" s="45">
        <v>0.2</v>
      </c>
      <c r="P177" s="45">
        <v>0.1986</v>
      </c>
      <c r="Q177" s="12">
        <f>60663300000+715000000</f>
        <v>61378300000</v>
      </c>
      <c r="R177" s="12">
        <f>62213471759.96+721310328.5</f>
        <v>62934782088.459999</v>
      </c>
      <c r="S177" s="13"/>
    </row>
    <row r="178" spans="1:19" ht="26.25" customHeight="1" x14ac:dyDescent="0.2">
      <c r="A178" s="100"/>
      <c r="B178" s="23">
        <v>174</v>
      </c>
      <c r="C178" s="20" t="s">
        <v>40</v>
      </c>
      <c r="D178" s="21" t="s">
        <v>41</v>
      </c>
      <c r="E178" s="38">
        <v>38938</v>
      </c>
      <c r="F178" s="38">
        <f t="shared" si="17"/>
        <v>38996</v>
      </c>
      <c r="G178" s="36">
        <v>58</v>
      </c>
      <c r="H178" s="36" t="s">
        <v>0</v>
      </c>
      <c r="I178" s="9">
        <v>1500000000</v>
      </c>
      <c r="J178" s="43">
        <v>0</v>
      </c>
      <c r="K178" s="9">
        <v>1500000000</v>
      </c>
      <c r="L178" s="9">
        <v>1500000000</v>
      </c>
      <c r="M178" s="9">
        <v>1549933337</v>
      </c>
      <c r="N178" s="43">
        <f t="shared" si="18"/>
        <v>1</v>
      </c>
      <c r="O178" s="43">
        <v>0.20780000000000001</v>
      </c>
      <c r="P178" s="43">
        <v>0.20660000000000001</v>
      </c>
      <c r="Q178" s="9">
        <f>Q177-630000000+1500000000</f>
        <v>62248300000</v>
      </c>
      <c r="R178" s="9">
        <f>R177-654480050+1549933337</f>
        <v>63830235375.459999</v>
      </c>
      <c r="S178" s="13"/>
    </row>
    <row r="179" spans="1:19" ht="26.25" customHeight="1" x14ac:dyDescent="0.2">
      <c r="A179" s="100"/>
      <c r="B179" s="24">
        <v>175</v>
      </c>
      <c r="C179" s="20" t="s">
        <v>40</v>
      </c>
      <c r="D179" s="21" t="s">
        <v>41</v>
      </c>
      <c r="E179" s="46">
        <v>38938</v>
      </c>
      <c r="F179" s="46">
        <f t="shared" si="17"/>
        <v>38952</v>
      </c>
      <c r="G179" s="39">
        <v>14</v>
      </c>
      <c r="H179" s="39" t="s">
        <v>1</v>
      </c>
      <c r="I179" s="12">
        <v>4500000000</v>
      </c>
      <c r="J179" s="45">
        <v>1.2999999999999999E-2</v>
      </c>
      <c r="K179" s="12">
        <v>4558500000</v>
      </c>
      <c r="L179" s="12">
        <v>3197787750</v>
      </c>
      <c r="M179" s="12">
        <v>3222484959.75</v>
      </c>
      <c r="N179" s="45">
        <f t="shared" si="18"/>
        <v>0.70150000000000001</v>
      </c>
      <c r="O179" s="45">
        <v>0.2</v>
      </c>
      <c r="P179" s="45">
        <v>0.1986</v>
      </c>
      <c r="Q179" s="12">
        <f>Q178-6000000000+L179</f>
        <v>59446087750</v>
      </c>
      <c r="R179" s="12">
        <f>R178-6046733287.72+M179</f>
        <v>61005987047.489998</v>
      </c>
      <c r="S179" s="13"/>
    </row>
    <row r="180" spans="1:19" ht="26.25" customHeight="1" x14ac:dyDescent="0.2">
      <c r="A180" s="100"/>
      <c r="B180" s="23">
        <v>176</v>
      </c>
      <c r="C180" s="20" t="s">
        <v>40</v>
      </c>
      <c r="D180" s="21" t="s">
        <v>41</v>
      </c>
      <c r="E180" s="38">
        <v>38940</v>
      </c>
      <c r="F180" s="38">
        <f t="shared" si="17"/>
        <v>39001</v>
      </c>
      <c r="G180" s="36">
        <v>61</v>
      </c>
      <c r="H180" s="36" t="s">
        <v>1</v>
      </c>
      <c r="I180" s="9">
        <v>1000000000</v>
      </c>
      <c r="J180" s="43">
        <v>2.4500000000000001E-2</v>
      </c>
      <c r="K180" s="9">
        <v>1024500000</v>
      </c>
      <c r="L180" s="9">
        <v>1024500000</v>
      </c>
      <c r="M180" s="9">
        <v>1059927500</v>
      </c>
      <c r="N180" s="43">
        <f t="shared" si="18"/>
        <v>1</v>
      </c>
      <c r="O180" s="43">
        <v>0.20599999999999999</v>
      </c>
      <c r="P180" s="43">
        <v>0.2041</v>
      </c>
      <c r="Q180" s="9">
        <f>Q179-1052500000+1024500000</f>
        <v>59418087750</v>
      </c>
      <c r="R180" s="9">
        <f>R179-1091219309+1059927500</f>
        <v>60974695238.489998</v>
      </c>
      <c r="S180" s="13"/>
    </row>
    <row r="181" spans="1:19" ht="26.25" customHeight="1" x14ac:dyDescent="0.2">
      <c r="A181" s="100"/>
      <c r="B181" s="24">
        <v>177</v>
      </c>
      <c r="C181" s="20" t="s">
        <v>40</v>
      </c>
      <c r="D181" s="21" t="s">
        <v>41</v>
      </c>
      <c r="E181" s="46">
        <v>38940</v>
      </c>
      <c r="F181" s="46">
        <f t="shared" si="17"/>
        <v>38954</v>
      </c>
      <c r="G181" s="39">
        <v>14</v>
      </c>
      <c r="H181" s="39" t="s">
        <v>1</v>
      </c>
      <c r="I181" s="12">
        <v>4000000000</v>
      </c>
      <c r="J181" s="45">
        <v>1.35E-2</v>
      </c>
      <c r="K181" s="12">
        <v>4054000000</v>
      </c>
      <c r="L181" s="12">
        <v>3772257135</v>
      </c>
      <c r="M181" s="12">
        <v>3801237762.6500001</v>
      </c>
      <c r="N181" s="45">
        <f t="shared" si="18"/>
        <v>0.93050250000000001</v>
      </c>
      <c r="O181" s="45">
        <v>0.2</v>
      </c>
      <c r="P181" s="45">
        <v>0.1976</v>
      </c>
      <c r="Q181" s="12">
        <f>Q180-4480000000+L181</f>
        <v>58710344885</v>
      </c>
      <c r="R181" s="12">
        <f>R180-4515394746+M181</f>
        <v>60260538255.139999</v>
      </c>
      <c r="S181" s="13"/>
    </row>
    <row r="182" spans="1:19" ht="26.25" customHeight="1" x14ac:dyDescent="0.2">
      <c r="A182" s="100"/>
      <c r="B182" s="23">
        <v>178</v>
      </c>
      <c r="C182" s="20" t="s">
        <v>40</v>
      </c>
      <c r="D182" s="21" t="s">
        <v>41</v>
      </c>
      <c r="E182" s="38">
        <v>38945</v>
      </c>
      <c r="F182" s="38">
        <f t="shared" si="17"/>
        <v>39003</v>
      </c>
      <c r="G182" s="36">
        <v>58</v>
      </c>
      <c r="H182" s="36" t="s">
        <v>0</v>
      </c>
      <c r="I182" s="9">
        <v>1500000000</v>
      </c>
      <c r="J182" s="43">
        <v>0</v>
      </c>
      <c r="K182" s="9">
        <v>1500000000</v>
      </c>
      <c r="L182" s="9">
        <v>1500000000</v>
      </c>
      <c r="M182" s="9">
        <v>1549143276</v>
      </c>
      <c r="N182" s="43">
        <f t="shared" si="18"/>
        <v>1</v>
      </c>
      <c r="O182" s="43">
        <v>0.20399999999999999</v>
      </c>
      <c r="P182" s="43">
        <v>0.2034</v>
      </c>
      <c r="Q182" s="9">
        <f>Q181-2000000000+L182</f>
        <v>58210344885</v>
      </c>
      <c r="R182" s="9">
        <f>R181-2076127996+M182</f>
        <v>59733553535.139999</v>
      </c>
      <c r="S182" s="13"/>
    </row>
    <row r="183" spans="1:19" ht="26.25" customHeight="1" x14ac:dyDescent="0.2">
      <c r="A183" s="100"/>
      <c r="B183" s="24">
        <v>179</v>
      </c>
      <c r="C183" s="20" t="s">
        <v>40</v>
      </c>
      <c r="D183" s="21" t="s">
        <v>41</v>
      </c>
      <c r="E183" s="46">
        <v>38945</v>
      </c>
      <c r="F183" s="46">
        <f t="shared" si="17"/>
        <v>38959</v>
      </c>
      <c r="G183" s="39">
        <v>14</v>
      </c>
      <c r="H183" s="39" t="s">
        <v>0</v>
      </c>
      <c r="I183" s="12">
        <v>4500000000</v>
      </c>
      <c r="J183" s="45">
        <v>0</v>
      </c>
      <c r="K183" s="12">
        <v>4500000000</v>
      </c>
      <c r="L183" s="12">
        <v>4500000000</v>
      </c>
      <c r="M183" s="12">
        <v>4534027148</v>
      </c>
      <c r="N183" s="45">
        <f t="shared" si="18"/>
        <v>1</v>
      </c>
      <c r="O183" s="45">
        <v>0.19719999999999999</v>
      </c>
      <c r="P183" s="45">
        <v>0.19439999999999999</v>
      </c>
      <c r="Q183" s="12">
        <f>Q182-5000000000+4500000000</f>
        <v>57710344885</v>
      </c>
      <c r="R183" s="12">
        <f>R182-5038670860.5+4534027148</f>
        <v>59228909822.639999</v>
      </c>
      <c r="S183" s="13"/>
    </row>
    <row r="184" spans="1:19" ht="26.25" customHeight="1" x14ac:dyDescent="0.2">
      <c r="A184" s="100"/>
      <c r="B184" s="29">
        <v>180</v>
      </c>
      <c r="C184" s="86" t="s">
        <v>40</v>
      </c>
      <c r="D184" s="87" t="s">
        <v>41</v>
      </c>
      <c r="E184" s="46">
        <v>38947</v>
      </c>
      <c r="F184" s="72">
        <f t="shared" si="17"/>
        <v>39008</v>
      </c>
      <c r="G184" s="39">
        <v>61</v>
      </c>
      <c r="H184" s="39" t="s">
        <v>0</v>
      </c>
      <c r="I184" s="12">
        <v>3000000000</v>
      </c>
      <c r="J184" s="45">
        <v>0</v>
      </c>
      <c r="K184" s="12">
        <v>3000000000</v>
      </c>
      <c r="L184" s="12">
        <v>3000000000</v>
      </c>
      <c r="M184" s="12">
        <v>3101649700</v>
      </c>
      <c r="N184" s="45">
        <f t="shared" si="18"/>
        <v>1</v>
      </c>
      <c r="O184" s="45">
        <v>0.2</v>
      </c>
      <c r="P184" s="45">
        <v>0.2</v>
      </c>
      <c r="Q184" s="12">
        <f>Q183-2500000000+3000000000</f>
        <v>58210344885</v>
      </c>
      <c r="R184" s="12">
        <f>R183-2589387151+M184</f>
        <v>59741172371.639999</v>
      </c>
      <c r="S184" s="13"/>
    </row>
    <row r="185" spans="1:19" ht="26.25" customHeight="1" x14ac:dyDescent="0.2">
      <c r="A185" s="100">
        <v>2006</v>
      </c>
      <c r="B185" s="28">
        <v>181</v>
      </c>
      <c r="C185" s="20" t="s">
        <v>40</v>
      </c>
      <c r="D185" s="21" t="s">
        <v>41</v>
      </c>
      <c r="E185" s="38">
        <v>38947</v>
      </c>
      <c r="F185" s="69">
        <f t="shared" si="17"/>
        <v>38961</v>
      </c>
      <c r="G185" s="36">
        <v>14</v>
      </c>
      <c r="H185" s="36" t="s">
        <v>0</v>
      </c>
      <c r="I185" s="9">
        <v>8000000000</v>
      </c>
      <c r="J185" s="43">
        <v>0</v>
      </c>
      <c r="K185" s="9">
        <v>8000000000</v>
      </c>
      <c r="L185" s="9">
        <v>8000000000</v>
      </c>
      <c r="M185" s="9">
        <v>8059074435</v>
      </c>
      <c r="N185" s="43">
        <f t="shared" si="18"/>
        <v>1</v>
      </c>
      <c r="O185" s="43">
        <v>0.19</v>
      </c>
      <c r="P185" s="43">
        <v>0.18990000000000001</v>
      </c>
      <c r="Q185" s="9">
        <f>Q184-6145000000+8000000000</f>
        <v>60065344885</v>
      </c>
      <c r="R185" s="9">
        <f>R184-6192470149.5+8059074435</f>
        <v>61607776657.139999</v>
      </c>
      <c r="S185" s="13"/>
    </row>
    <row r="186" spans="1:19" ht="26.25" customHeight="1" x14ac:dyDescent="0.2">
      <c r="A186" s="100"/>
      <c r="B186" s="24">
        <v>182</v>
      </c>
      <c r="C186" s="20" t="s">
        <v>40</v>
      </c>
      <c r="D186" s="21" t="s">
        <v>41</v>
      </c>
      <c r="E186" s="46">
        <v>38950</v>
      </c>
      <c r="F186" s="46">
        <f t="shared" si="17"/>
        <v>38966</v>
      </c>
      <c r="G186" s="39">
        <v>16</v>
      </c>
      <c r="H186" s="39" t="s">
        <v>0</v>
      </c>
      <c r="I186" s="12">
        <v>2000000000</v>
      </c>
      <c r="J186" s="45">
        <v>0</v>
      </c>
      <c r="K186" s="12">
        <v>2000000000</v>
      </c>
      <c r="L186" s="12">
        <v>2000000000</v>
      </c>
      <c r="M186" s="12">
        <v>2016207562.2</v>
      </c>
      <c r="N186" s="45">
        <f t="shared" si="18"/>
        <v>1</v>
      </c>
      <c r="O186" s="45">
        <v>0.185</v>
      </c>
      <c r="P186" s="45">
        <v>0.18229999999999999</v>
      </c>
      <c r="Q186" s="12">
        <f>Q185+L186</f>
        <v>62065344885</v>
      </c>
      <c r="R186" s="12">
        <f>R185+M186</f>
        <v>63623984219.339996</v>
      </c>
      <c r="S186" s="13"/>
    </row>
    <row r="187" spans="1:19" ht="26.25" customHeight="1" x14ac:dyDescent="0.2">
      <c r="A187" s="100"/>
      <c r="B187" s="23">
        <v>183</v>
      </c>
      <c r="C187" s="20" t="s">
        <v>40</v>
      </c>
      <c r="D187" s="21" t="s">
        <v>41</v>
      </c>
      <c r="E187" s="46">
        <v>38952</v>
      </c>
      <c r="F187" s="38">
        <f t="shared" si="17"/>
        <v>39010</v>
      </c>
      <c r="G187" s="36">
        <v>58</v>
      </c>
      <c r="H187" s="39" t="s">
        <v>0</v>
      </c>
      <c r="I187" s="9">
        <v>3000000000</v>
      </c>
      <c r="J187" s="43">
        <v>0</v>
      </c>
      <c r="K187" s="9">
        <v>3000000000</v>
      </c>
      <c r="L187" s="9">
        <v>3000000000</v>
      </c>
      <c r="M187" s="9">
        <v>3087918300</v>
      </c>
      <c r="N187" s="43">
        <f t="shared" si="18"/>
        <v>1</v>
      </c>
      <c r="O187" s="43">
        <v>0.18190000000000001</v>
      </c>
      <c r="P187" s="43">
        <v>0.18190000000000001</v>
      </c>
      <c r="Q187" s="9">
        <f>+Q186+L187-L179-L177-L142</f>
        <v>58152557135</v>
      </c>
      <c r="R187" s="9">
        <f>+R186+M187-M179-M177-M142</f>
        <v>59657558271.089996</v>
      </c>
      <c r="S187" s="13"/>
    </row>
    <row r="188" spans="1:19" ht="26.25" customHeight="1" x14ac:dyDescent="0.2">
      <c r="A188" s="100"/>
      <c r="B188" s="23">
        <v>184</v>
      </c>
      <c r="C188" s="20" t="s">
        <v>40</v>
      </c>
      <c r="D188" s="21" t="s">
        <v>41</v>
      </c>
      <c r="E188" s="46">
        <v>38952</v>
      </c>
      <c r="F188" s="38">
        <f t="shared" si="17"/>
        <v>38966</v>
      </c>
      <c r="G188" s="36">
        <v>14</v>
      </c>
      <c r="H188" s="39" t="s">
        <v>0</v>
      </c>
      <c r="I188" s="9">
        <v>11000000000</v>
      </c>
      <c r="J188" s="43">
        <v>0</v>
      </c>
      <c r="K188" s="9">
        <v>11000000000</v>
      </c>
      <c r="L188" s="9">
        <v>11000000000</v>
      </c>
      <c r="M188" s="9">
        <v>11073762971.4</v>
      </c>
      <c r="N188" s="43">
        <f t="shared" si="18"/>
        <v>1</v>
      </c>
      <c r="O188" s="43">
        <v>0.17499999999999999</v>
      </c>
      <c r="P188" s="43">
        <v>0.1724</v>
      </c>
      <c r="Q188" s="9">
        <f>+Q187+L188</f>
        <v>69152557135</v>
      </c>
      <c r="R188" s="9">
        <f>+R187+M188</f>
        <v>70731321242.48999</v>
      </c>
      <c r="S188" s="13"/>
    </row>
    <row r="189" spans="1:19" ht="26.25" customHeight="1" x14ac:dyDescent="0.2">
      <c r="A189" s="100"/>
      <c r="B189" s="24">
        <v>185</v>
      </c>
      <c r="C189" s="20" t="s">
        <v>40</v>
      </c>
      <c r="D189" s="21" t="s">
        <v>41</v>
      </c>
      <c r="E189" s="46">
        <v>38952</v>
      </c>
      <c r="F189" s="46">
        <f t="shared" si="17"/>
        <v>38966</v>
      </c>
      <c r="G189" s="39">
        <v>14</v>
      </c>
      <c r="H189" s="39" t="s">
        <v>0</v>
      </c>
      <c r="I189" s="12">
        <v>3500000000</v>
      </c>
      <c r="J189" s="45">
        <v>0</v>
      </c>
      <c r="K189" s="12">
        <v>3500000000</v>
      </c>
      <c r="L189" s="12">
        <v>3500000000</v>
      </c>
      <c r="M189" s="12">
        <v>3523617409.5</v>
      </c>
      <c r="N189" s="45">
        <f t="shared" si="18"/>
        <v>1</v>
      </c>
      <c r="O189" s="45">
        <v>0.17499999999999999</v>
      </c>
      <c r="P189" s="45">
        <v>0.17349999999999999</v>
      </c>
      <c r="Q189" s="12">
        <f>+Q188+L189</f>
        <v>72652557135</v>
      </c>
      <c r="R189" s="12">
        <f>+R188+M189</f>
        <v>74254938651.98999</v>
      </c>
      <c r="S189" s="13"/>
    </row>
    <row r="190" spans="1:19" ht="26.25" customHeight="1" x14ac:dyDescent="0.2">
      <c r="A190" s="100"/>
      <c r="B190" s="24">
        <v>186</v>
      </c>
      <c r="C190" s="20" t="s">
        <v>40</v>
      </c>
      <c r="D190" s="21" t="s">
        <v>41</v>
      </c>
      <c r="E190" s="46">
        <v>38953</v>
      </c>
      <c r="F190" s="46">
        <f t="shared" si="17"/>
        <v>38968</v>
      </c>
      <c r="G190" s="39">
        <v>15</v>
      </c>
      <c r="H190" s="39" t="s">
        <v>1</v>
      </c>
      <c r="I190" s="12">
        <v>3000000000</v>
      </c>
      <c r="J190" s="45">
        <v>1.7000000000000001E-2</v>
      </c>
      <c r="K190" s="12">
        <v>3051000000</v>
      </c>
      <c r="L190" s="12">
        <v>2817090000</v>
      </c>
      <c r="M190" s="12">
        <v>2837310035</v>
      </c>
      <c r="N190" s="45">
        <f t="shared" si="18"/>
        <v>0.92333333333333334</v>
      </c>
      <c r="O190" s="45">
        <v>0.17499999999999999</v>
      </c>
      <c r="P190" s="45">
        <v>0.17230000000000001</v>
      </c>
      <c r="Q190" s="12">
        <f>Q189+L190</f>
        <v>75469647135</v>
      </c>
      <c r="R190" s="12">
        <f>R189+M190</f>
        <v>77092248686.98999</v>
      </c>
      <c r="S190" s="13"/>
    </row>
    <row r="191" spans="1:19" ht="26.25" customHeight="1" x14ac:dyDescent="0.2">
      <c r="A191" s="100"/>
      <c r="B191" s="23">
        <v>187</v>
      </c>
      <c r="C191" s="20" t="s">
        <v>40</v>
      </c>
      <c r="D191" s="21" t="s">
        <v>41</v>
      </c>
      <c r="E191" s="38">
        <v>38954</v>
      </c>
      <c r="F191" s="38">
        <f t="shared" si="17"/>
        <v>39015</v>
      </c>
      <c r="G191" s="36">
        <v>61</v>
      </c>
      <c r="H191" s="36" t="s">
        <v>1</v>
      </c>
      <c r="I191" s="9">
        <v>3000000000</v>
      </c>
      <c r="J191" s="43">
        <v>0</v>
      </c>
      <c r="K191" s="9">
        <v>3084000000</v>
      </c>
      <c r="L191" s="9">
        <v>3084000000</v>
      </c>
      <c r="M191" s="9">
        <v>3175415440</v>
      </c>
      <c r="N191" s="43">
        <f t="shared" si="18"/>
        <v>1</v>
      </c>
      <c r="O191" s="43">
        <v>0.1779</v>
      </c>
      <c r="P191" s="43">
        <v>0.1749</v>
      </c>
      <c r="Q191" s="9">
        <f>Q190-5885000000+3084000000</f>
        <v>72668647135</v>
      </c>
      <c r="R191" s="9">
        <f>R190-6091328465+3175415440</f>
        <v>74176335661.98999</v>
      </c>
      <c r="S191" s="13"/>
    </row>
    <row r="192" spans="1:19" ht="26.25" customHeight="1" x14ac:dyDescent="0.2">
      <c r="A192" s="100"/>
      <c r="B192" s="24">
        <v>188</v>
      </c>
      <c r="C192" s="20" t="s">
        <v>40</v>
      </c>
      <c r="D192" s="21" t="s">
        <v>41</v>
      </c>
      <c r="E192" s="46">
        <v>38954</v>
      </c>
      <c r="F192" s="46">
        <f t="shared" si="17"/>
        <v>38968</v>
      </c>
      <c r="G192" s="39">
        <v>14</v>
      </c>
      <c r="H192" s="39" t="s">
        <v>0</v>
      </c>
      <c r="I192" s="12">
        <v>12000000000</v>
      </c>
      <c r="J192" s="45">
        <v>2.8000000000000001E-2</v>
      </c>
      <c r="K192" s="12">
        <v>12000000000</v>
      </c>
      <c r="L192" s="12">
        <v>8866600000</v>
      </c>
      <c r="M192" s="12">
        <v>8925950009.5799999</v>
      </c>
      <c r="N192" s="45">
        <f t="shared" si="18"/>
        <v>0.73888333333333334</v>
      </c>
      <c r="O192" s="45">
        <v>0.17499999999999999</v>
      </c>
      <c r="P192" s="45">
        <v>0.1721</v>
      </c>
      <c r="Q192" s="12">
        <f>Q191-3772257135+8866600000</f>
        <v>77762990000</v>
      </c>
      <c r="R192" s="12">
        <f>R191-3801237762.65+8925950009.58</f>
        <v>79301047908.919998</v>
      </c>
      <c r="S192" s="13"/>
    </row>
    <row r="193" spans="1:19" ht="26.25" customHeight="1" x14ac:dyDescent="0.2">
      <c r="A193" s="100"/>
      <c r="B193" s="24">
        <v>189</v>
      </c>
      <c r="C193" s="20" t="s">
        <v>40</v>
      </c>
      <c r="D193" s="21" t="s">
        <v>41</v>
      </c>
      <c r="E193" s="46">
        <v>38957</v>
      </c>
      <c r="F193" s="46">
        <f t="shared" si="17"/>
        <v>38973</v>
      </c>
      <c r="G193" s="39">
        <v>16</v>
      </c>
      <c r="H193" s="39" t="s">
        <v>1</v>
      </c>
      <c r="I193" s="12">
        <v>5000000000</v>
      </c>
      <c r="J193" s="45">
        <v>1.7999999999999999E-2</v>
      </c>
      <c r="K193" s="12">
        <v>5090000000</v>
      </c>
      <c r="L193" s="12">
        <v>1659340000</v>
      </c>
      <c r="M193" s="12">
        <v>1672080020</v>
      </c>
      <c r="N193" s="45">
        <f t="shared" si="18"/>
        <v>0.32600000000000001</v>
      </c>
      <c r="O193" s="45">
        <v>0.17499999999999999</v>
      </c>
      <c r="P193" s="45">
        <v>0.17280000000000001</v>
      </c>
      <c r="Q193" s="12">
        <f>Q192+L193</f>
        <v>79422330000</v>
      </c>
      <c r="R193" s="12">
        <f>R192+M193</f>
        <v>80973127928.919998</v>
      </c>
      <c r="S193" s="13"/>
    </row>
    <row r="194" spans="1:19" ht="26.25" customHeight="1" x14ac:dyDescent="0.2">
      <c r="A194" s="100"/>
      <c r="B194" s="23">
        <v>190</v>
      </c>
      <c r="C194" s="20" t="s">
        <v>40</v>
      </c>
      <c r="D194" s="21" t="s">
        <v>41</v>
      </c>
      <c r="E194" s="38">
        <v>38959</v>
      </c>
      <c r="F194" s="38">
        <f t="shared" si="17"/>
        <v>39017</v>
      </c>
      <c r="G194" s="36">
        <v>58</v>
      </c>
      <c r="H194" s="36" t="s">
        <v>0</v>
      </c>
      <c r="I194" s="9">
        <v>3000000000</v>
      </c>
      <c r="J194" s="43">
        <v>0</v>
      </c>
      <c r="K194" s="9">
        <v>3000000000</v>
      </c>
      <c r="L194" s="9">
        <v>2285000000</v>
      </c>
      <c r="M194" s="9">
        <v>2349610831</v>
      </c>
      <c r="N194" s="43">
        <f t="shared" si="18"/>
        <v>0.76166666666666671</v>
      </c>
      <c r="O194" s="43">
        <v>0.18010000000000001</v>
      </c>
      <c r="P194" s="43">
        <v>0.17549999999999999</v>
      </c>
      <c r="Q194" s="9">
        <f>Q193-1780000000+L194</f>
        <v>79927330000</v>
      </c>
      <c r="R194" s="9">
        <f>R193-1844575277+2349610831</f>
        <v>81478163482.919998</v>
      </c>
      <c r="S194" s="13"/>
    </row>
    <row r="195" spans="1:19" ht="26.25" customHeight="1" x14ac:dyDescent="0.2">
      <c r="A195" s="100"/>
      <c r="B195" s="24">
        <v>191</v>
      </c>
      <c r="C195" s="20" t="s">
        <v>40</v>
      </c>
      <c r="D195" s="21" t="s">
        <v>41</v>
      </c>
      <c r="E195" s="46">
        <v>38959</v>
      </c>
      <c r="F195" s="46">
        <f t="shared" si="17"/>
        <v>38973</v>
      </c>
      <c r="G195" s="39">
        <v>14</v>
      </c>
      <c r="H195" s="39" t="s">
        <v>0</v>
      </c>
      <c r="I195" s="12">
        <v>7000000000</v>
      </c>
      <c r="J195" s="45">
        <v>0</v>
      </c>
      <c r="K195" s="12">
        <v>7000000000</v>
      </c>
      <c r="L195" s="12">
        <v>3150000000</v>
      </c>
      <c r="M195" s="12">
        <v>3171151514</v>
      </c>
      <c r="N195" s="45">
        <f t="shared" si="18"/>
        <v>0.45</v>
      </c>
      <c r="O195" s="45">
        <v>0.17899999999999999</v>
      </c>
      <c r="P195" s="45">
        <v>0.17269999999999999</v>
      </c>
      <c r="Q195" s="12">
        <f>Q194-4500000000+L195</f>
        <v>78577330000</v>
      </c>
      <c r="R195" s="12">
        <f>R194-4534027148+M195</f>
        <v>80115287848.919998</v>
      </c>
      <c r="S195" s="13"/>
    </row>
    <row r="196" spans="1:19" ht="26.25" customHeight="1" x14ac:dyDescent="0.2">
      <c r="A196" s="100"/>
      <c r="B196" s="24">
        <v>192</v>
      </c>
      <c r="C196" s="20" t="s">
        <v>43</v>
      </c>
      <c r="D196" s="21" t="s">
        <v>41</v>
      </c>
      <c r="E196" s="46">
        <v>38961</v>
      </c>
      <c r="F196" s="46">
        <f t="shared" si="17"/>
        <v>38975</v>
      </c>
      <c r="G196" s="39">
        <v>14</v>
      </c>
      <c r="H196" s="39" t="s">
        <v>0</v>
      </c>
      <c r="I196" s="53" t="s">
        <v>8</v>
      </c>
      <c r="J196" s="45">
        <v>0</v>
      </c>
      <c r="K196" s="53" t="s">
        <v>8</v>
      </c>
      <c r="L196" s="12">
        <v>7920000000</v>
      </c>
      <c r="M196" s="12">
        <v>7975440000</v>
      </c>
      <c r="N196" s="45">
        <v>1</v>
      </c>
      <c r="O196" s="45">
        <v>0.18</v>
      </c>
      <c r="P196" s="45">
        <v>0.18</v>
      </c>
      <c r="Q196" s="12">
        <f>Q195-3000000000-8000000000+L196</f>
        <v>75497330000</v>
      </c>
      <c r="R196" s="12">
        <f>R195-3103351400-8059074435+7975440000</f>
        <v>76928302013.919998</v>
      </c>
      <c r="S196" s="13"/>
    </row>
    <row r="197" spans="1:19" ht="26.25" customHeight="1" x14ac:dyDescent="0.2">
      <c r="A197" s="100"/>
      <c r="B197" s="24">
        <v>193</v>
      </c>
      <c r="C197" s="20" t="s">
        <v>40</v>
      </c>
      <c r="D197" s="21" t="s">
        <v>41</v>
      </c>
      <c r="E197" s="46">
        <v>38964</v>
      </c>
      <c r="F197" s="46">
        <f t="shared" si="17"/>
        <v>39027</v>
      </c>
      <c r="G197" s="39">
        <v>63</v>
      </c>
      <c r="H197" s="39" t="s">
        <v>0</v>
      </c>
      <c r="I197" s="12">
        <v>5000000000</v>
      </c>
      <c r="J197" s="45">
        <v>0</v>
      </c>
      <c r="K197" s="12">
        <v>5000000000</v>
      </c>
      <c r="L197" s="12">
        <v>1125000000</v>
      </c>
      <c r="M197" s="12">
        <v>1161905400</v>
      </c>
      <c r="N197" s="45">
        <f>L197/K197</f>
        <v>0.22500000000000001</v>
      </c>
      <c r="O197" s="45">
        <v>0.19439999999999999</v>
      </c>
      <c r="P197" s="45">
        <v>0.1875</v>
      </c>
      <c r="Q197" s="12">
        <f>Q196+L197</f>
        <v>76622330000</v>
      </c>
      <c r="R197" s="12">
        <f>R196+M197</f>
        <v>78090207413.919998</v>
      </c>
      <c r="S197" s="13"/>
    </row>
    <row r="198" spans="1:19" ht="26.25" customHeight="1" x14ac:dyDescent="0.2">
      <c r="A198" s="100"/>
      <c r="B198" s="24">
        <v>194</v>
      </c>
      <c r="C198" s="20" t="s">
        <v>43</v>
      </c>
      <c r="D198" s="21" t="s">
        <v>41</v>
      </c>
      <c r="E198" s="46">
        <v>38966</v>
      </c>
      <c r="F198" s="46">
        <v>38980</v>
      </c>
      <c r="G198" s="39">
        <v>14</v>
      </c>
      <c r="H198" s="39" t="s">
        <v>0</v>
      </c>
      <c r="I198" s="53" t="s">
        <v>8</v>
      </c>
      <c r="J198" s="45">
        <v>0</v>
      </c>
      <c r="K198" s="53" t="s">
        <v>8</v>
      </c>
      <c r="L198" s="12">
        <v>9535000000</v>
      </c>
      <c r="M198" s="12">
        <v>9601745000</v>
      </c>
      <c r="N198" s="45">
        <v>1</v>
      </c>
      <c r="O198" s="45">
        <v>0.18</v>
      </c>
      <c r="P198" s="45">
        <v>0.18</v>
      </c>
      <c r="Q198" s="12">
        <v>66297330000</v>
      </c>
      <c r="R198" s="12">
        <v>67597472530.419998</v>
      </c>
      <c r="S198" s="13"/>
    </row>
    <row r="199" spans="1:19" ht="26.25" customHeight="1" x14ac:dyDescent="0.2">
      <c r="A199" s="100"/>
      <c r="B199" s="24">
        <v>195</v>
      </c>
      <c r="C199" s="20" t="s">
        <v>43</v>
      </c>
      <c r="D199" s="21" t="s">
        <v>41</v>
      </c>
      <c r="E199" s="46">
        <v>38968</v>
      </c>
      <c r="F199" s="46">
        <f t="shared" ref="F199:F204" si="19">+E199+G199</f>
        <v>38982</v>
      </c>
      <c r="G199" s="39">
        <v>14</v>
      </c>
      <c r="H199" s="39" t="s">
        <v>0</v>
      </c>
      <c r="I199" s="53" t="s">
        <v>8</v>
      </c>
      <c r="J199" s="45">
        <v>0</v>
      </c>
      <c r="K199" s="53" t="s">
        <v>8</v>
      </c>
      <c r="L199" s="12">
        <v>13881000000</v>
      </c>
      <c r="M199" s="12">
        <v>13978167000</v>
      </c>
      <c r="N199" s="45">
        <v>1</v>
      </c>
      <c r="O199" s="45">
        <v>0.18</v>
      </c>
      <c r="P199" s="45">
        <v>0.18</v>
      </c>
      <c r="Q199" s="12">
        <f>Q198-11683690000-1982800000+13881000000</f>
        <v>66511840000</v>
      </c>
      <c r="R199" s="12">
        <f>R198-11763260044.58-2050756926.24+M199</f>
        <v>67761622559.599998</v>
      </c>
      <c r="S199" s="13"/>
    </row>
    <row r="200" spans="1:19" ht="26.25" customHeight="1" x14ac:dyDescent="0.2">
      <c r="A200" s="100"/>
      <c r="B200" s="23">
        <v>196</v>
      </c>
      <c r="C200" s="20" t="s">
        <v>43</v>
      </c>
      <c r="D200" s="21" t="s">
        <v>41</v>
      </c>
      <c r="E200" s="38">
        <v>38973</v>
      </c>
      <c r="F200" s="38">
        <f t="shared" si="19"/>
        <v>38987</v>
      </c>
      <c r="G200" s="36">
        <v>14</v>
      </c>
      <c r="H200" s="36" t="s">
        <v>0</v>
      </c>
      <c r="I200" s="53" t="s">
        <v>8</v>
      </c>
      <c r="J200" s="45">
        <v>0</v>
      </c>
      <c r="K200" s="53" t="s">
        <v>8</v>
      </c>
      <c r="L200" s="9">
        <v>8550000000</v>
      </c>
      <c r="M200" s="9">
        <v>8609850000</v>
      </c>
      <c r="N200" s="43">
        <v>1</v>
      </c>
      <c r="O200" s="43">
        <v>0.18</v>
      </c>
      <c r="P200" s="43">
        <v>0.18</v>
      </c>
      <c r="Q200" s="9">
        <f>Q199-1659340000-3150000000-1573000000+8550000000</f>
        <v>68679500000</v>
      </c>
      <c r="R200" s="9">
        <f>R199-1672080020-3171151514-1629607125.6+8609850000</f>
        <v>69898633900</v>
      </c>
      <c r="S200" s="13"/>
    </row>
    <row r="201" spans="1:19" ht="26.25" customHeight="1" x14ac:dyDescent="0.2">
      <c r="A201" s="100"/>
      <c r="B201" s="24">
        <v>197</v>
      </c>
      <c r="C201" s="20" t="s">
        <v>43</v>
      </c>
      <c r="D201" s="21" t="s">
        <v>41</v>
      </c>
      <c r="E201" s="46">
        <v>38975</v>
      </c>
      <c r="F201" s="46">
        <f t="shared" si="19"/>
        <v>38989</v>
      </c>
      <c r="G201" s="39">
        <v>14</v>
      </c>
      <c r="H201" s="39" t="s">
        <v>0</v>
      </c>
      <c r="I201" s="53" t="s">
        <v>8</v>
      </c>
      <c r="J201" s="45">
        <v>0</v>
      </c>
      <c r="K201" s="53" t="s">
        <v>8</v>
      </c>
      <c r="L201" s="12">
        <v>14380000000</v>
      </c>
      <c r="M201" s="12">
        <v>14480660000</v>
      </c>
      <c r="N201" s="45">
        <v>1</v>
      </c>
      <c r="O201" s="45">
        <v>0.18</v>
      </c>
      <c r="P201" s="45">
        <v>0.18</v>
      </c>
      <c r="Q201" s="12">
        <v>72139500000</v>
      </c>
      <c r="R201" s="12">
        <v>73301364617.5</v>
      </c>
      <c r="S201" s="13"/>
    </row>
    <row r="202" spans="1:19" ht="26.25" customHeight="1" x14ac:dyDescent="0.2">
      <c r="A202" s="100"/>
      <c r="B202" s="24">
        <v>198</v>
      </c>
      <c r="C202" s="20" t="s">
        <v>40</v>
      </c>
      <c r="D202" s="21" t="s">
        <v>41</v>
      </c>
      <c r="E202" s="46">
        <v>38978</v>
      </c>
      <c r="F202" s="46">
        <f t="shared" si="19"/>
        <v>39041</v>
      </c>
      <c r="G202" s="39">
        <v>63</v>
      </c>
      <c r="H202" s="39" t="s">
        <v>0</v>
      </c>
      <c r="I202" s="12">
        <v>2500000000</v>
      </c>
      <c r="J202" s="45">
        <v>0</v>
      </c>
      <c r="K202" s="12">
        <v>2500000000</v>
      </c>
      <c r="L202" s="12">
        <v>2500000000</v>
      </c>
      <c r="M202" s="12">
        <v>2581480612.5</v>
      </c>
      <c r="N202" s="45">
        <v>1</v>
      </c>
      <c r="O202" s="45">
        <v>0.18890000000000001</v>
      </c>
      <c r="P202" s="45">
        <v>0.1862</v>
      </c>
      <c r="Q202" s="12">
        <f>Q201+2500000000</f>
        <v>74639500000</v>
      </c>
      <c r="R202" s="12">
        <f>R201+2581480612.5</f>
        <v>75882845230</v>
      </c>
      <c r="S202" s="13"/>
    </row>
    <row r="203" spans="1:19" ht="26.25" customHeight="1" x14ac:dyDescent="0.2">
      <c r="A203" s="100"/>
      <c r="B203" s="24">
        <v>199</v>
      </c>
      <c r="C203" s="20" t="s">
        <v>43</v>
      </c>
      <c r="D203" s="21" t="s">
        <v>41</v>
      </c>
      <c r="E203" s="46">
        <v>38980</v>
      </c>
      <c r="F203" s="46">
        <f t="shared" si="19"/>
        <v>38994</v>
      </c>
      <c r="G203" s="39">
        <v>14</v>
      </c>
      <c r="H203" s="39" t="s">
        <v>0</v>
      </c>
      <c r="I203" s="53" t="s">
        <v>8</v>
      </c>
      <c r="J203" s="45">
        <v>0</v>
      </c>
      <c r="K203" s="53" t="s">
        <v>8</v>
      </c>
      <c r="L203" s="12">
        <v>13130000000</v>
      </c>
      <c r="M203" s="12">
        <v>13221910000</v>
      </c>
      <c r="N203" s="45">
        <v>1</v>
      </c>
      <c r="O203" s="45">
        <v>0.18</v>
      </c>
      <c r="P203" s="45">
        <v>0.18</v>
      </c>
      <c r="Q203" s="12">
        <f>Q202-9535000000-2000000000+13130000000</f>
        <v>76234500000</v>
      </c>
      <c r="R203" s="12">
        <f>R202-9601745000-2071300183.5+M203</f>
        <v>77431710046.5</v>
      </c>
      <c r="S203" s="13"/>
    </row>
    <row r="204" spans="1:19" ht="26.25" customHeight="1" x14ac:dyDescent="0.2">
      <c r="A204" s="100"/>
      <c r="B204" s="24">
        <v>200</v>
      </c>
      <c r="C204" s="20" t="s">
        <v>43</v>
      </c>
      <c r="D204" s="21" t="s">
        <v>41</v>
      </c>
      <c r="E204" s="46">
        <v>38982</v>
      </c>
      <c r="F204" s="46">
        <f t="shared" si="19"/>
        <v>38996</v>
      </c>
      <c r="G204" s="39">
        <v>14</v>
      </c>
      <c r="H204" s="39" t="s">
        <v>0</v>
      </c>
      <c r="I204" s="53" t="s">
        <v>8</v>
      </c>
      <c r="J204" s="45">
        <v>0</v>
      </c>
      <c r="K204" s="53" t="s">
        <v>8</v>
      </c>
      <c r="L204" s="12">
        <v>20496000000</v>
      </c>
      <c r="M204" s="12">
        <v>20639472000</v>
      </c>
      <c r="N204" s="45">
        <v>1</v>
      </c>
      <c r="O204" s="45">
        <v>0.18</v>
      </c>
      <c r="P204" s="45">
        <v>0.18</v>
      </c>
      <c r="Q204" s="12">
        <f>Q203-L199-L168+L204</f>
        <v>80349500000</v>
      </c>
      <c r="R204" s="12">
        <f>R203-M199-M168+M204</f>
        <v>81508529484</v>
      </c>
      <c r="S204" s="13"/>
    </row>
    <row r="205" spans="1:19" ht="26.25" customHeight="1" x14ac:dyDescent="0.2">
      <c r="A205" s="100"/>
      <c r="B205" s="24">
        <v>201</v>
      </c>
      <c r="C205" s="20" t="s">
        <v>43</v>
      </c>
      <c r="D205" s="21" t="s">
        <v>41</v>
      </c>
      <c r="E205" s="46">
        <v>38985</v>
      </c>
      <c r="F205" s="46">
        <f>+E205+G205</f>
        <v>39001</v>
      </c>
      <c r="G205" s="39">
        <v>16</v>
      </c>
      <c r="H205" s="39" t="s">
        <v>0</v>
      </c>
      <c r="I205" s="53" t="s">
        <v>8</v>
      </c>
      <c r="J205" s="54">
        <v>0</v>
      </c>
      <c r="K205" s="53" t="s">
        <v>8</v>
      </c>
      <c r="L205" s="17">
        <v>1242000000</v>
      </c>
      <c r="M205" s="17">
        <v>1251936000</v>
      </c>
      <c r="N205" s="54">
        <v>1</v>
      </c>
      <c r="O205" s="54">
        <v>0.18</v>
      </c>
      <c r="P205" s="54">
        <v>0.18</v>
      </c>
      <c r="Q205" s="17">
        <f>80349500000+1242000000</f>
        <v>81591500000</v>
      </c>
      <c r="R205" s="17">
        <f>81508529484+1251936000</f>
        <v>82760465484</v>
      </c>
      <c r="S205" s="13"/>
    </row>
    <row r="206" spans="1:19" ht="26.25" customHeight="1" x14ac:dyDescent="0.2">
      <c r="A206" s="100"/>
      <c r="B206" s="24">
        <v>202</v>
      </c>
      <c r="C206" s="20" t="s">
        <v>43</v>
      </c>
      <c r="D206" s="21" t="s">
        <v>41</v>
      </c>
      <c r="E206" s="46">
        <v>38987</v>
      </c>
      <c r="F206" s="46">
        <f>+E206+G206</f>
        <v>39001</v>
      </c>
      <c r="G206" s="39">
        <v>14</v>
      </c>
      <c r="H206" s="39" t="s">
        <v>0</v>
      </c>
      <c r="I206" s="53" t="s">
        <v>8</v>
      </c>
      <c r="J206" s="54">
        <v>0</v>
      </c>
      <c r="K206" s="53" t="s">
        <v>8</v>
      </c>
      <c r="L206" s="17">
        <v>10482000000</v>
      </c>
      <c r="M206" s="17">
        <v>10555374000</v>
      </c>
      <c r="N206" s="54">
        <v>1</v>
      </c>
      <c r="O206" s="54">
        <v>0.18</v>
      </c>
      <c r="P206" s="54">
        <v>0.18</v>
      </c>
      <c r="Q206" s="17">
        <v>82743500000</v>
      </c>
      <c r="R206" s="17">
        <v>83898360372</v>
      </c>
      <c r="S206" s="13"/>
    </row>
    <row r="207" spans="1:19" ht="26.25" customHeight="1" x14ac:dyDescent="0.2">
      <c r="A207" s="100"/>
      <c r="B207" s="24">
        <v>203</v>
      </c>
      <c r="C207" s="20" t="s">
        <v>43</v>
      </c>
      <c r="D207" s="21" t="s">
        <v>41</v>
      </c>
      <c r="E207" s="46">
        <v>38989</v>
      </c>
      <c r="F207" s="46">
        <f>+E207+G207</f>
        <v>39003</v>
      </c>
      <c r="G207" s="39">
        <v>14</v>
      </c>
      <c r="H207" s="39" t="s">
        <v>0</v>
      </c>
      <c r="I207" s="53" t="s">
        <v>8</v>
      </c>
      <c r="J207" s="45">
        <v>0</v>
      </c>
      <c r="K207" s="53" t="s">
        <v>8</v>
      </c>
      <c r="L207" s="12">
        <v>13795000000</v>
      </c>
      <c r="M207" s="12">
        <v>13891565000</v>
      </c>
      <c r="N207" s="45">
        <v>1</v>
      </c>
      <c r="O207" s="45">
        <v>0.18</v>
      </c>
      <c r="P207" s="45">
        <v>0.18</v>
      </c>
      <c r="Q207" s="12">
        <f>Q206-14380000000-1995000000+L207</f>
        <v>80163500000</v>
      </c>
      <c r="R207" s="12">
        <f>R206-14480660000-2061817465.5+M207</f>
        <v>81247447906.5</v>
      </c>
      <c r="S207" s="13"/>
    </row>
    <row r="208" spans="1:19" ht="26.25" customHeight="1" x14ac:dyDescent="0.2">
      <c r="A208" s="100"/>
      <c r="B208" s="24">
        <v>204</v>
      </c>
      <c r="C208" s="20" t="s">
        <v>43</v>
      </c>
      <c r="D208" s="21" t="s">
        <v>41</v>
      </c>
      <c r="E208" s="46">
        <v>38994</v>
      </c>
      <c r="F208" s="46">
        <f>+E208+G208</f>
        <v>39008</v>
      </c>
      <c r="G208" s="39">
        <v>14</v>
      </c>
      <c r="H208" s="39" t="s">
        <v>0</v>
      </c>
      <c r="I208" s="53" t="s">
        <v>8</v>
      </c>
      <c r="J208" s="45">
        <v>0</v>
      </c>
      <c r="K208" s="53" t="s">
        <v>8</v>
      </c>
      <c r="L208" s="12">
        <v>16266000000</v>
      </c>
      <c r="M208" s="12">
        <v>16379862000</v>
      </c>
      <c r="N208" s="45">
        <v>1</v>
      </c>
      <c r="O208" s="45">
        <v>0.18</v>
      </c>
      <c r="P208" s="45">
        <v>0.18</v>
      </c>
      <c r="Q208" s="12">
        <f>Q207-13130000000-2000000000+16266000000</f>
        <v>81299500000</v>
      </c>
      <c r="R208" s="12">
        <f>R207-13221910000-2070206510+M208</f>
        <v>82335193396.5</v>
      </c>
      <c r="S208" s="13"/>
    </row>
    <row r="209" spans="1:19" ht="26.25" customHeight="1" x14ac:dyDescent="0.2">
      <c r="A209" s="100"/>
      <c r="B209" s="24">
        <v>205</v>
      </c>
      <c r="C209" s="20" t="s">
        <v>43</v>
      </c>
      <c r="D209" s="21" t="s">
        <v>41</v>
      </c>
      <c r="E209" s="46">
        <v>38996</v>
      </c>
      <c r="F209" s="46">
        <f>+E209+G209</f>
        <v>39010</v>
      </c>
      <c r="G209" s="39">
        <v>14</v>
      </c>
      <c r="H209" s="39" t="s">
        <v>0</v>
      </c>
      <c r="I209" s="53" t="s">
        <v>8</v>
      </c>
      <c r="J209" s="45">
        <v>0</v>
      </c>
      <c r="K209" s="53" t="s">
        <v>8</v>
      </c>
      <c r="L209" s="12">
        <v>14631000000</v>
      </c>
      <c r="M209" s="12">
        <v>14733417000</v>
      </c>
      <c r="N209" s="45">
        <v>1</v>
      </c>
      <c r="O209" s="45">
        <v>0.18</v>
      </c>
      <c r="P209" s="45">
        <v>0.18</v>
      </c>
      <c r="Q209" s="12">
        <f>Q208-20496000000-1500000000+L209</f>
        <v>73934500000</v>
      </c>
      <c r="R209" s="12">
        <f>R208-20639472000-1549933337+M209</f>
        <v>74879205059.5</v>
      </c>
      <c r="S209" s="13"/>
    </row>
    <row r="210" spans="1:19" ht="26.25" customHeight="1" x14ac:dyDescent="0.2">
      <c r="A210" s="100"/>
      <c r="B210" s="24">
        <v>206</v>
      </c>
      <c r="C210" s="20" t="s">
        <v>40</v>
      </c>
      <c r="D210" s="21" t="s">
        <v>41</v>
      </c>
      <c r="E210" s="46">
        <v>38999</v>
      </c>
      <c r="F210" s="46">
        <v>39062</v>
      </c>
      <c r="G210" s="39">
        <v>63</v>
      </c>
      <c r="H210" s="39" t="s">
        <v>0</v>
      </c>
      <c r="I210" s="55">
        <v>2500000000</v>
      </c>
      <c r="J210" s="45">
        <v>0</v>
      </c>
      <c r="K210" s="55">
        <v>2500000000</v>
      </c>
      <c r="L210" s="12">
        <v>2500000000</v>
      </c>
      <c r="M210" s="12">
        <v>2580540250</v>
      </c>
      <c r="N210" s="45">
        <v>1</v>
      </c>
      <c r="O210" s="45">
        <v>0.18479999999999999</v>
      </c>
      <c r="P210" s="45">
        <v>0.18410000000000001</v>
      </c>
      <c r="Q210" s="12">
        <v>76434500000</v>
      </c>
      <c r="R210" s="12">
        <v>77459745309.5</v>
      </c>
      <c r="S210" s="13"/>
    </row>
    <row r="211" spans="1:19" ht="26.25" customHeight="1" x14ac:dyDescent="0.2">
      <c r="A211" s="100"/>
      <c r="B211" s="24">
        <v>207</v>
      </c>
      <c r="C211" s="20" t="s">
        <v>43</v>
      </c>
      <c r="D211" s="21" t="s">
        <v>41</v>
      </c>
      <c r="E211" s="46">
        <v>39001</v>
      </c>
      <c r="F211" s="46">
        <f>E211+G211</f>
        <v>39015</v>
      </c>
      <c r="G211" s="39">
        <v>14</v>
      </c>
      <c r="H211" s="39" t="s">
        <v>0</v>
      </c>
      <c r="I211" s="53" t="s">
        <v>8</v>
      </c>
      <c r="J211" s="45">
        <v>0</v>
      </c>
      <c r="K211" s="53" t="s">
        <v>8</v>
      </c>
      <c r="L211" s="12">
        <v>9475000000</v>
      </c>
      <c r="M211" s="12">
        <v>9541325000</v>
      </c>
      <c r="N211" s="45">
        <v>1</v>
      </c>
      <c r="O211" s="45">
        <v>0.18</v>
      </c>
      <c r="P211" s="45">
        <v>0.18</v>
      </c>
      <c r="Q211" s="12">
        <f>Q210-L206-L205-L180+L211</f>
        <v>73161000000</v>
      </c>
      <c r="R211" s="12">
        <f>R210-M206-M205-M180+M211</f>
        <v>74133832809.5</v>
      </c>
      <c r="S211" s="13"/>
    </row>
    <row r="212" spans="1:19" ht="26.25" customHeight="1" x14ac:dyDescent="0.2">
      <c r="A212" s="100"/>
      <c r="B212" s="24">
        <v>208</v>
      </c>
      <c r="C212" s="20" t="s">
        <v>43</v>
      </c>
      <c r="D212" s="21" t="s">
        <v>41</v>
      </c>
      <c r="E212" s="46">
        <v>39003</v>
      </c>
      <c r="F212" s="46">
        <f t="shared" ref="F212:F220" si="20">+E212+G212</f>
        <v>39017</v>
      </c>
      <c r="G212" s="39">
        <v>14</v>
      </c>
      <c r="H212" s="39" t="s">
        <v>0</v>
      </c>
      <c r="I212" s="53" t="s">
        <v>8</v>
      </c>
      <c r="J212" s="45">
        <v>0</v>
      </c>
      <c r="K212" s="53" t="s">
        <v>8</v>
      </c>
      <c r="L212" s="12">
        <v>11300000000</v>
      </c>
      <c r="M212" s="12">
        <v>11379100000</v>
      </c>
      <c r="N212" s="45">
        <v>1</v>
      </c>
      <c r="O212" s="45">
        <v>0.18</v>
      </c>
      <c r="P212" s="45">
        <v>0.18</v>
      </c>
      <c r="Q212" s="12">
        <f>Q211-L207-L182+L212</f>
        <v>69166000000</v>
      </c>
      <c r="R212" s="12">
        <f>R211-M207-M182+M212</f>
        <v>70072224533.5</v>
      </c>
      <c r="S212" s="13"/>
    </row>
    <row r="213" spans="1:19" ht="26.25" customHeight="1" x14ac:dyDescent="0.2">
      <c r="A213" s="100"/>
      <c r="B213" s="24">
        <v>209</v>
      </c>
      <c r="C213" s="20" t="s">
        <v>43</v>
      </c>
      <c r="D213" s="21" t="s">
        <v>41</v>
      </c>
      <c r="E213" s="46">
        <v>39008</v>
      </c>
      <c r="F213" s="46">
        <f t="shared" si="20"/>
        <v>39022</v>
      </c>
      <c r="G213" s="39">
        <v>14</v>
      </c>
      <c r="H213" s="39" t="s">
        <v>0</v>
      </c>
      <c r="I213" s="53" t="s">
        <v>8</v>
      </c>
      <c r="J213" s="45">
        <v>0</v>
      </c>
      <c r="K213" s="53" t="s">
        <v>8</v>
      </c>
      <c r="L213" s="12">
        <v>25640000000</v>
      </c>
      <c r="M213" s="12">
        <v>25819480000</v>
      </c>
      <c r="N213" s="45">
        <v>1</v>
      </c>
      <c r="O213" s="45">
        <v>0.18</v>
      </c>
      <c r="P213" s="45">
        <v>0.18</v>
      </c>
      <c r="Q213" s="12">
        <f>Q212-16266000000-3000000000+L213</f>
        <v>75540000000</v>
      </c>
      <c r="R213" s="12">
        <f>R212-16379862000-3101649700+M213</f>
        <v>76410192833.5</v>
      </c>
      <c r="S213" s="13"/>
    </row>
    <row r="214" spans="1:19" ht="26.25" customHeight="1" x14ac:dyDescent="0.2">
      <c r="A214" s="100"/>
      <c r="B214" s="24">
        <v>210</v>
      </c>
      <c r="C214" s="20" t="s">
        <v>43</v>
      </c>
      <c r="D214" s="21" t="s">
        <v>41</v>
      </c>
      <c r="E214" s="46">
        <v>39010</v>
      </c>
      <c r="F214" s="46">
        <f t="shared" si="20"/>
        <v>39024</v>
      </c>
      <c r="G214" s="39">
        <v>14</v>
      </c>
      <c r="H214" s="39" t="s">
        <v>0</v>
      </c>
      <c r="I214" s="53" t="s">
        <v>8</v>
      </c>
      <c r="J214" s="45">
        <v>0</v>
      </c>
      <c r="K214" s="53" t="s">
        <v>8</v>
      </c>
      <c r="L214" s="12">
        <v>18300000000</v>
      </c>
      <c r="M214" s="12">
        <v>18428100000</v>
      </c>
      <c r="N214" s="45">
        <v>1</v>
      </c>
      <c r="O214" s="45">
        <v>0.18</v>
      </c>
      <c r="P214" s="45">
        <v>0.18</v>
      </c>
      <c r="Q214" s="12">
        <f>Q213-14631000000-3000000000+L214</f>
        <v>76209000000</v>
      </c>
      <c r="R214" s="12">
        <f>R213-14733417000-3087918300+M214</f>
        <v>77016957533.5</v>
      </c>
      <c r="S214" s="13"/>
    </row>
    <row r="215" spans="1:19" ht="26.25" customHeight="1" x14ac:dyDescent="0.2">
      <c r="A215" s="100"/>
      <c r="B215" s="24">
        <v>211</v>
      </c>
      <c r="C215" s="20" t="s">
        <v>40</v>
      </c>
      <c r="D215" s="21" t="s">
        <v>41</v>
      </c>
      <c r="E215" s="46">
        <v>39013</v>
      </c>
      <c r="F215" s="46">
        <f t="shared" si="20"/>
        <v>39076</v>
      </c>
      <c r="G215" s="39">
        <v>63</v>
      </c>
      <c r="H215" s="39" t="s">
        <v>0</v>
      </c>
      <c r="I215" s="55">
        <v>2500000000</v>
      </c>
      <c r="J215" s="45">
        <v>0</v>
      </c>
      <c r="K215" s="55">
        <v>2500000000</v>
      </c>
      <c r="L215" s="12">
        <v>2500000000</v>
      </c>
      <c r="M215" s="12">
        <v>2579797375</v>
      </c>
      <c r="N215" s="45">
        <v>1</v>
      </c>
      <c r="O215" s="45">
        <v>0.1837</v>
      </c>
      <c r="P215" s="45">
        <v>0.18240000000000001</v>
      </c>
      <c r="Q215" s="12">
        <v>78709000000</v>
      </c>
      <c r="R215" s="12">
        <v>79596754908.5</v>
      </c>
      <c r="S215" s="13"/>
    </row>
    <row r="216" spans="1:19" ht="26.25" customHeight="1" x14ac:dyDescent="0.2">
      <c r="A216" s="100"/>
      <c r="B216" s="24">
        <v>212</v>
      </c>
      <c r="C216" s="20" t="s">
        <v>43</v>
      </c>
      <c r="D216" s="21" t="s">
        <v>41</v>
      </c>
      <c r="E216" s="46">
        <v>39015</v>
      </c>
      <c r="F216" s="46">
        <f t="shared" si="20"/>
        <v>39029</v>
      </c>
      <c r="G216" s="39">
        <v>14</v>
      </c>
      <c r="H216" s="39" t="s">
        <v>0</v>
      </c>
      <c r="I216" s="53" t="s">
        <v>8</v>
      </c>
      <c r="J216" s="45">
        <v>0</v>
      </c>
      <c r="K216" s="53" t="s">
        <v>10</v>
      </c>
      <c r="L216" s="12">
        <v>14470000000</v>
      </c>
      <c r="M216" s="12">
        <v>14571290000</v>
      </c>
      <c r="N216" s="45">
        <v>1</v>
      </c>
      <c r="O216" s="45">
        <v>0.18</v>
      </c>
      <c r="P216" s="45">
        <v>0.18</v>
      </c>
      <c r="Q216" s="12">
        <f>78709000000-L211-L191+14470000000</f>
        <v>80620000000</v>
      </c>
      <c r="R216" s="12">
        <f>79596754908.5-M211-M191+14571290000</f>
        <v>81451304468.5</v>
      </c>
      <c r="S216" s="13"/>
    </row>
    <row r="217" spans="1:19" ht="26.25" customHeight="1" x14ac:dyDescent="0.2">
      <c r="A217" s="100"/>
      <c r="B217" s="24">
        <v>213</v>
      </c>
      <c r="C217" s="20" t="s">
        <v>43</v>
      </c>
      <c r="D217" s="21" t="s">
        <v>41</v>
      </c>
      <c r="E217" s="46">
        <v>39017</v>
      </c>
      <c r="F217" s="46">
        <f t="shared" si="20"/>
        <v>39031</v>
      </c>
      <c r="G217" s="39">
        <v>14</v>
      </c>
      <c r="H217" s="39" t="s">
        <v>0</v>
      </c>
      <c r="I217" s="53" t="s">
        <v>8</v>
      </c>
      <c r="J217" s="45">
        <v>0</v>
      </c>
      <c r="K217" s="53" t="s">
        <v>8</v>
      </c>
      <c r="L217" s="12">
        <v>16650000000</v>
      </c>
      <c r="M217" s="12">
        <v>16766550000</v>
      </c>
      <c r="N217" s="45">
        <v>1</v>
      </c>
      <c r="O217" s="45">
        <v>0.18</v>
      </c>
      <c r="P217" s="45">
        <v>0.18</v>
      </c>
      <c r="Q217" s="12">
        <v>83685000000</v>
      </c>
      <c r="R217" s="12">
        <v>84489143637.5</v>
      </c>
      <c r="S217" s="13"/>
    </row>
    <row r="218" spans="1:19" ht="26.25" customHeight="1" x14ac:dyDescent="0.2">
      <c r="A218" s="100"/>
      <c r="B218" s="24">
        <v>214</v>
      </c>
      <c r="C218" s="20" t="s">
        <v>43</v>
      </c>
      <c r="D218" s="21" t="s">
        <v>41</v>
      </c>
      <c r="E218" s="46">
        <v>39022</v>
      </c>
      <c r="F218" s="46">
        <f t="shared" si="20"/>
        <v>39036</v>
      </c>
      <c r="G218" s="39">
        <v>14</v>
      </c>
      <c r="H218" s="39" t="s">
        <v>0</v>
      </c>
      <c r="I218" s="53" t="s">
        <v>8</v>
      </c>
      <c r="J218" s="45">
        <v>0</v>
      </c>
      <c r="K218" s="53" t="s">
        <v>8</v>
      </c>
      <c r="L218" s="12">
        <v>17040000000</v>
      </c>
      <c r="M218" s="12">
        <v>17159280000</v>
      </c>
      <c r="N218" s="45">
        <v>1</v>
      </c>
      <c r="O218" s="45">
        <v>0.18</v>
      </c>
      <c r="P218" s="45">
        <v>0.18</v>
      </c>
      <c r="Q218" s="12">
        <f>Q217-25640000000+17040000000</f>
        <v>75085000000</v>
      </c>
      <c r="R218" s="12">
        <f>R217-25819480000+M218</f>
        <v>75828943637.5</v>
      </c>
      <c r="S218" s="13"/>
    </row>
    <row r="219" spans="1:19" ht="26.25" customHeight="1" x14ac:dyDescent="0.2">
      <c r="A219" s="100"/>
      <c r="B219" s="24">
        <v>215</v>
      </c>
      <c r="C219" s="20" t="s">
        <v>43</v>
      </c>
      <c r="D219" s="21" t="s">
        <v>41</v>
      </c>
      <c r="E219" s="46">
        <v>39024</v>
      </c>
      <c r="F219" s="46">
        <f t="shared" si="20"/>
        <v>39038</v>
      </c>
      <c r="G219" s="39">
        <v>14</v>
      </c>
      <c r="H219" s="39" t="s">
        <v>0</v>
      </c>
      <c r="I219" s="53" t="s">
        <v>8</v>
      </c>
      <c r="J219" s="45">
        <v>0</v>
      </c>
      <c r="K219" s="53" t="s">
        <v>8</v>
      </c>
      <c r="L219" s="12">
        <v>18590000000</v>
      </c>
      <c r="M219" s="12">
        <v>18716516104</v>
      </c>
      <c r="N219" s="45">
        <v>1</v>
      </c>
      <c r="O219" s="45">
        <v>0.17499999999999999</v>
      </c>
      <c r="P219" s="45">
        <v>0.17499999999999999</v>
      </c>
      <c r="Q219" s="12">
        <f>Q218-18300000000+18590000000</f>
        <v>75375000000</v>
      </c>
      <c r="R219" s="12">
        <f>R218-18428100000+M219</f>
        <v>76117359741.5</v>
      </c>
      <c r="S219" s="13"/>
    </row>
    <row r="220" spans="1:19" ht="26.25" customHeight="1" x14ac:dyDescent="0.2">
      <c r="A220" s="100"/>
      <c r="B220" s="24">
        <v>216</v>
      </c>
      <c r="C220" s="20" t="s">
        <v>40</v>
      </c>
      <c r="D220" s="21" t="s">
        <v>41</v>
      </c>
      <c r="E220" s="46">
        <v>39027</v>
      </c>
      <c r="F220" s="46">
        <f t="shared" si="20"/>
        <v>39090</v>
      </c>
      <c r="G220" s="39">
        <v>63</v>
      </c>
      <c r="H220" s="39" t="s">
        <v>0</v>
      </c>
      <c r="I220" s="55">
        <v>2500000000</v>
      </c>
      <c r="J220" s="45">
        <v>0</v>
      </c>
      <c r="K220" s="55">
        <v>2500000000</v>
      </c>
      <c r="L220" s="12">
        <v>2500000000</v>
      </c>
      <c r="M220" s="12">
        <v>2576562500</v>
      </c>
      <c r="N220" s="45">
        <v>1</v>
      </c>
      <c r="O220" s="45">
        <v>0.17499999999999999</v>
      </c>
      <c r="P220" s="45">
        <v>0.17499999999999999</v>
      </c>
      <c r="Q220" s="12">
        <f>75375000000-L197+2500000000</f>
        <v>76750000000</v>
      </c>
      <c r="R220" s="12">
        <f>76117359741.5-M197+2576562500</f>
        <v>77532016841.5</v>
      </c>
      <c r="S220" s="13"/>
    </row>
    <row r="221" spans="1:19" ht="26.25" customHeight="1" x14ac:dyDescent="0.2">
      <c r="A221" s="100"/>
      <c r="B221" s="24">
        <v>217</v>
      </c>
      <c r="C221" s="20" t="s">
        <v>43</v>
      </c>
      <c r="D221" s="21" t="s">
        <v>41</v>
      </c>
      <c r="E221" s="46">
        <v>39029</v>
      </c>
      <c r="F221" s="46">
        <f t="shared" ref="F221:F227" si="21">+E221+G221</f>
        <v>39043</v>
      </c>
      <c r="G221" s="39">
        <v>14</v>
      </c>
      <c r="H221" s="39" t="s">
        <v>0</v>
      </c>
      <c r="I221" s="53" t="s">
        <v>8</v>
      </c>
      <c r="J221" s="45">
        <v>0</v>
      </c>
      <c r="K221" s="53" t="s">
        <v>8</v>
      </c>
      <c r="L221" s="12">
        <v>25050000000</v>
      </c>
      <c r="M221" s="12">
        <v>25220480280</v>
      </c>
      <c r="N221" s="45">
        <v>1</v>
      </c>
      <c r="O221" s="45">
        <v>0.17499999999999999</v>
      </c>
      <c r="P221" s="45">
        <v>0.17499999999999999</v>
      </c>
      <c r="Q221" s="12">
        <f>76750000000-L216+25050000000</f>
        <v>87330000000</v>
      </c>
      <c r="R221" s="12">
        <f>77532016841.5-M216+25220480280</f>
        <v>88181207121.5</v>
      </c>
      <c r="S221" s="13"/>
    </row>
    <row r="222" spans="1:19" ht="26.25" customHeight="1" x14ac:dyDescent="0.2">
      <c r="A222" s="100"/>
      <c r="B222" s="24">
        <v>218</v>
      </c>
      <c r="C222" s="20" t="s">
        <v>43</v>
      </c>
      <c r="D222" s="21" t="s">
        <v>41</v>
      </c>
      <c r="E222" s="46">
        <v>39031</v>
      </c>
      <c r="F222" s="46">
        <f t="shared" si="21"/>
        <v>39045</v>
      </c>
      <c r="G222" s="39">
        <v>14</v>
      </c>
      <c r="H222" s="39" t="s">
        <v>0</v>
      </c>
      <c r="I222" s="53" t="s">
        <v>8</v>
      </c>
      <c r="J222" s="45">
        <v>0</v>
      </c>
      <c r="K222" s="53" t="s">
        <v>8</v>
      </c>
      <c r="L222" s="12">
        <v>19922000000</v>
      </c>
      <c r="M222" s="12">
        <v>20057581163.200001</v>
      </c>
      <c r="N222" s="45">
        <v>1</v>
      </c>
      <c r="O222" s="45">
        <v>0.17499999999999999</v>
      </c>
      <c r="P222" s="45">
        <v>0.17499999999999999</v>
      </c>
      <c r="Q222" s="12">
        <f>87330000000-L217+19922000000</f>
        <v>90602000000</v>
      </c>
      <c r="R222" s="12">
        <f>88181207121.5-M217+20057581163.2</f>
        <v>91472238284.699997</v>
      </c>
      <c r="S222" s="13"/>
    </row>
    <row r="223" spans="1:19" ht="26.25" customHeight="1" x14ac:dyDescent="0.2">
      <c r="A223" s="100"/>
      <c r="B223" s="24">
        <v>219</v>
      </c>
      <c r="C223" s="20" t="s">
        <v>40</v>
      </c>
      <c r="D223" s="21" t="s">
        <v>42</v>
      </c>
      <c r="E223" s="46">
        <v>39034</v>
      </c>
      <c r="F223" s="46">
        <f t="shared" si="21"/>
        <v>39216</v>
      </c>
      <c r="G223" s="39">
        <v>182</v>
      </c>
      <c r="H223" s="39" t="s">
        <v>0</v>
      </c>
      <c r="I223" s="55">
        <v>3000000000</v>
      </c>
      <c r="J223" s="45">
        <v>0</v>
      </c>
      <c r="K223" s="53" t="s">
        <v>8</v>
      </c>
      <c r="L223" s="12">
        <v>2769592345</v>
      </c>
      <c r="M223" s="12">
        <v>3000000000</v>
      </c>
      <c r="N223" s="45">
        <v>1</v>
      </c>
      <c r="O223" s="45">
        <v>0.16750000000000001</v>
      </c>
      <c r="P223" s="45">
        <v>0.1646</v>
      </c>
      <c r="Q223" s="12">
        <f>Q222+L223</f>
        <v>93371592345</v>
      </c>
      <c r="R223" s="12">
        <f>R222+M223</f>
        <v>94472238284.699997</v>
      </c>
      <c r="S223" s="13"/>
    </row>
    <row r="224" spans="1:19" ht="26.25" customHeight="1" x14ac:dyDescent="0.2">
      <c r="A224" s="100"/>
      <c r="B224" s="24">
        <v>220</v>
      </c>
      <c r="C224" s="20" t="s">
        <v>43</v>
      </c>
      <c r="D224" s="21" t="s">
        <v>41</v>
      </c>
      <c r="E224" s="46">
        <v>39036</v>
      </c>
      <c r="F224" s="46">
        <f t="shared" si="21"/>
        <v>39050</v>
      </c>
      <c r="G224" s="39">
        <v>14</v>
      </c>
      <c r="H224" s="39" t="s">
        <v>0</v>
      </c>
      <c r="I224" s="53" t="s">
        <v>8</v>
      </c>
      <c r="J224" s="45">
        <v>0</v>
      </c>
      <c r="K224" s="53" t="s">
        <v>8</v>
      </c>
      <c r="L224" s="12">
        <v>22325000000</v>
      </c>
      <c r="M224" s="12">
        <v>22476935020</v>
      </c>
      <c r="N224" s="45">
        <v>1</v>
      </c>
      <c r="O224" s="45">
        <v>0.17499999999999999</v>
      </c>
      <c r="P224" s="45">
        <v>0.17499999999999999</v>
      </c>
      <c r="Q224" s="12">
        <f>Q223-17040000000+L224</f>
        <v>98656592345</v>
      </c>
      <c r="R224" s="12">
        <f>R223-17159280000+M224</f>
        <v>99789893304.699997</v>
      </c>
      <c r="S224" s="13"/>
    </row>
    <row r="225" spans="1:20" ht="26.25" customHeight="1" x14ac:dyDescent="0.2">
      <c r="A225" s="100"/>
      <c r="B225" s="24">
        <v>221</v>
      </c>
      <c r="C225" s="20" t="s">
        <v>43</v>
      </c>
      <c r="D225" s="21" t="s">
        <v>41</v>
      </c>
      <c r="E225" s="46">
        <v>39038</v>
      </c>
      <c r="F225" s="46">
        <f t="shared" si="21"/>
        <v>39052</v>
      </c>
      <c r="G225" s="39">
        <v>14</v>
      </c>
      <c r="H225" s="39" t="s">
        <v>0</v>
      </c>
      <c r="I225" s="53" t="s">
        <v>8</v>
      </c>
      <c r="J225" s="45">
        <v>0</v>
      </c>
      <c r="K225" s="53" t="s">
        <v>8</v>
      </c>
      <c r="L225" s="12">
        <v>12415000000</v>
      </c>
      <c r="M225" s="12">
        <v>12494663330.5</v>
      </c>
      <c r="N225" s="45">
        <v>1</v>
      </c>
      <c r="O225" s="45">
        <v>0.16500000000000001</v>
      </c>
      <c r="P225" s="45">
        <v>0.16500000000000001</v>
      </c>
      <c r="Q225" s="12">
        <f>Q224-18590000000+L225</f>
        <v>92481592345</v>
      </c>
      <c r="R225" s="12">
        <f>R224-18716516104+M225</f>
        <v>93568040531.199997</v>
      </c>
      <c r="S225" s="13"/>
    </row>
    <row r="226" spans="1:20" ht="26.25" customHeight="1" x14ac:dyDescent="0.2">
      <c r="A226" s="100"/>
      <c r="B226" s="24">
        <v>222</v>
      </c>
      <c r="C226" s="20" t="s">
        <v>40</v>
      </c>
      <c r="D226" s="21" t="s">
        <v>41</v>
      </c>
      <c r="E226" s="46">
        <v>39041</v>
      </c>
      <c r="F226" s="46">
        <f t="shared" si="21"/>
        <v>39104</v>
      </c>
      <c r="G226" s="39">
        <v>63</v>
      </c>
      <c r="H226" s="39" t="s">
        <v>0</v>
      </c>
      <c r="I226" s="55">
        <v>2500000000</v>
      </c>
      <c r="J226" s="45">
        <v>0</v>
      </c>
      <c r="K226" s="55">
        <v>2500000000</v>
      </c>
      <c r="L226" s="12">
        <v>2500000000</v>
      </c>
      <c r="M226" s="12">
        <v>2569730850</v>
      </c>
      <c r="N226" s="45">
        <v>1</v>
      </c>
      <c r="O226" s="45">
        <v>0.15939999999999999</v>
      </c>
      <c r="P226" s="45">
        <v>0.15939999999999999</v>
      </c>
      <c r="Q226" s="12">
        <f>92481592345-L202+2500000000</f>
        <v>92481592345</v>
      </c>
      <c r="R226" s="12">
        <f>93568040531.2-M202+2569730850</f>
        <v>93556290768.699997</v>
      </c>
      <c r="S226" s="13"/>
    </row>
    <row r="227" spans="1:20" ht="26.25" customHeight="1" x14ac:dyDescent="0.2">
      <c r="A227" s="100"/>
      <c r="B227" s="24">
        <v>223</v>
      </c>
      <c r="C227" s="20" t="s">
        <v>43</v>
      </c>
      <c r="D227" s="21" t="s">
        <v>41</v>
      </c>
      <c r="E227" s="46">
        <v>39043</v>
      </c>
      <c r="F227" s="46">
        <f t="shared" si="21"/>
        <v>39057</v>
      </c>
      <c r="G227" s="39">
        <v>14</v>
      </c>
      <c r="H227" s="39" t="s">
        <v>0</v>
      </c>
      <c r="I227" s="53" t="s">
        <v>8</v>
      </c>
      <c r="J227" s="45">
        <v>0</v>
      </c>
      <c r="K227" s="53" t="s">
        <v>8</v>
      </c>
      <c r="L227" s="12">
        <v>33410000000</v>
      </c>
      <c r="M227" s="12">
        <v>33624381947</v>
      </c>
      <c r="N227" s="45">
        <v>1</v>
      </c>
      <c r="O227" s="45">
        <v>0.16500000000000001</v>
      </c>
      <c r="P227" s="45">
        <v>0.16500000000000001</v>
      </c>
      <c r="Q227" s="12">
        <f>92481592345-L221+33410000000</f>
        <v>100841592345</v>
      </c>
      <c r="R227" s="12">
        <f>93556290768.7-M221+33624381947</f>
        <v>101960192435.7</v>
      </c>
      <c r="S227" s="13"/>
    </row>
    <row r="228" spans="1:20" ht="26.25" customHeight="1" x14ac:dyDescent="0.2">
      <c r="A228" s="100"/>
      <c r="B228" s="24">
        <v>224</v>
      </c>
      <c r="C228" s="20" t="s">
        <v>43</v>
      </c>
      <c r="D228" s="21" t="s">
        <v>41</v>
      </c>
      <c r="E228" s="46">
        <v>39045</v>
      </c>
      <c r="F228" s="46">
        <f>+E228+G228</f>
        <v>39059</v>
      </c>
      <c r="G228" s="39">
        <v>14</v>
      </c>
      <c r="H228" s="39" t="s">
        <v>0</v>
      </c>
      <c r="I228" s="53" t="s">
        <v>8</v>
      </c>
      <c r="J228" s="45">
        <v>0</v>
      </c>
      <c r="K228" s="53" t="s">
        <v>8</v>
      </c>
      <c r="L228" s="12">
        <v>23300000000</v>
      </c>
      <c r="M228" s="12">
        <v>23449509110</v>
      </c>
      <c r="N228" s="45">
        <v>1</v>
      </c>
      <c r="O228" s="45">
        <v>0.16500000000000001</v>
      </c>
      <c r="P228" s="45">
        <v>0.16500000000000001</v>
      </c>
      <c r="Q228" s="12">
        <f>100841592345-L222+23300000000</f>
        <v>104219592345</v>
      </c>
      <c r="R228" s="12">
        <f>101960192435.7-M222+23449509110</f>
        <v>105352120382.5</v>
      </c>
      <c r="S228" s="13"/>
    </row>
    <row r="229" spans="1:20" ht="26.25" customHeight="1" x14ac:dyDescent="0.2">
      <c r="A229" s="100"/>
      <c r="B229" s="23">
        <v>225</v>
      </c>
      <c r="C229" s="20" t="s">
        <v>43</v>
      </c>
      <c r="D229" s="21" t="s">
        <v>41</v>
      </c>
      <c r="E229" s="38">
        <v>39050</v>
      </c>
      <c r="F229" s="38">
        <f>+E229+G229</f>
        <v>39064</v>
      </c>
      <c r="G229" s="36">
        <v>14</v>
      </c>
      <c r="H229" s="36" t="s">
        <v>0</v>
      </c>
      <c r="I229" s="42" t="s">
        <v>8</v>
      </c>
      <c r="J229" s="43">
        <v>0</v>
      </c>
      <c r="K229" s="42" t="s">
        <v>8</v>
      </c>
      <c r="L229" s="9">
        <v>23750000000</v>
      </c>
      <c r="M229" s="9">
        <v>23902396625</v>
      </c>
      <c r="N229" s="43">
        <v>1</v>
      </c>
      <c r="O229" s="43">
        <v>0.16500000000000001</v>
      </c>
      <c r="P229" s="43">
        <v>0.16500000000000001</v>
      </c>
      <c r="Q229" s="9">
        <f>Q228-22325000000+L229</f>
        <v>105644592345</v>
      </c>
      <c r="R229" s="9">
        <f>R228-22476935020+M229</f>
        <v>106777581987.5</v>
      </c>
      <c r="S229" s="13"/>
    </row>
    <row r="230" spans="1:20" ht="26.25" customHeight="1" x14ac:dyDescent="0.2">
      <c r="A230" s="100">
        <v>2006</v>
      </c>
      <c r="B230" s="25">
        <v>226</v>
      </c>
      <c r="C230" s="88" t="s">
        <v>43</v>
      </c>
      <c r="D230" s="89" t="s">
        <v>41</v>
      </c>
      <c r="E230" s="44">
        <v>39052</v>
      </c>
      <c r="F230" s="44">
        <f>+E230+G230</f>
        <v>39066</v>
      </c>
      <c r="G230" s="51">
        <v>14</v>
      </c>
      <c r="H230" s="51" t="s">
        <v>0</v>
      </c>
      <c r="I230" s="60" t="s">
        <v>8</v>
      </c>
      <c r="J230" s="52">
        <v>0</v>
      </c>
      <c r="K230" s="60" t="s">
        <v>8</v>
      </c>
      <c r="L230" s="14">
        <v>14985000000</v>
      </c>
      <c r="M230" s="14">
        <v>15081154249.5</v>
      </c>
      <c r="N230" s="52">
        <v>1</v>
      </c>
      <c r="O230" s="52">
        <v>0.16500000000000001</v>
      </c>
      <c r="P230" s="52">
        <v>0.16500000000000001</v>
      </c>
      <c r="Q230" s="14">
        <f>Q229-12415000000+L230</f>
        <v>108214592345</v>
      </c>
      <c r="R230" s="14">
        <f>R229-12494663330.5+M230</f>
        <v>109364072906.5</v>
      </c>
      <c r="S230" s="13"/>
    </row>
    <row r="231" spans="1:20" ht="26.25" customHeight="1" x14ac:dyDescent="0.2">
      <c r="A231" s="100"/>
      <c r="B231" s="24">
        <v>227</v>
      </c>
      <c r="C231" s="20" t="s">
        <v>43</v>
      </c>
      <c r="D231" s="21" t="s">
        <v>41</v>
      </c>
      <c r="E231" s="46">
        <v>39057</v>
      </c>
      <c r="F231" s="46">
        <f>+E231+G231</f>
        <v>39071</v>
      </c>
      <c r="G231" s="39">
        <v>14</v>
      </c>
      <c r="H231" s="39" t="s">
        <v>0</v>
      </c>
      <c r="I231" s="53" t="s">
        <v>8</v>
      </c>
      <c r="J231" s="45">
        <v>0</v>
      </c>
      <c r="K231" s="53" t="s">
        <v>8</v>
      </c>
      <c r="L231" s="12">
        <v>39230000000</v>
      </c>
      <c r="M231" s="12">
        <v>39481727141</v>
      </c>
      <c r="N231" s="45">
        <v>1</v>
      </c>
      <c r="O231" s="45">
        <v>0.16500000000000001</v>
      </c>
      <c r="P231" s="45">
        <v>0.16500000000000001</v>
      </c>
      <c r="Q231" s="12">
        <f>108214592345-L227+39230000000</f>
        <v>114034592345</v>
      </c>
      <c r="R231" s="12">
        <f>109364072906.5-M227+39481727141</f>
        <v>115221418100.5</v>
      </c>
      <c r="S231" s="13"/>
    </row>
    <row r="232" spans="1:20" ht="26.25" customHeight="1" x14ac:dyDescent="0.2">
      <c r="A232" s="100"/>
      <c r="B232" s="24">
        <v>228</v>
      </c>
      <c r="C232" s="20" t="s">
        <v>43</v>
      </c>
      <c r="D232" s="21" t="s">
        <v>41</v>
      </c>
      <c r="E232" s="46">
        <v>39059</v>
      </c>
      <c r="F232" s="46">
        <f>+E232+G232</f>
        <v>39073</v>
      </c>
      <c r="G232" s="39">
        <v>14</v>
      </c>
      <c r="H232" s="39" t="s">
        <v>0</v>
      </c>
      <c r="I232" s="53" t="s">
        <v>8</v>
      </c>
      <c r="J232" s="45">
        <v>0</v>
      </c>
      <c r="K232" s="53" t="s">
        <v>8</v>
      </c>
      <c r="L232" s="12">
        <v>31760000000</v>
      </c>
      <c r="M232" s="12">
        <v>31951442928</v>
      </c>
      <c r="N232" s="45">
        <v>1</v>
      </c>
      <c r="O232" s="45">
        <v>0.155</v>
      </c>
      <c r="P232" s="45">
        <v>0.155</v>
      </c>
      <c r="Q232" s="12">
        <f>114034592345-L228+31760000000</f>
        <v>122494592345</v>
      </c>
      <c r="R232" s="12">
        <f>115221418100.5-M228+31951442928</f>
        <v>123723351918.5</v>
      </c>
      <c r="S232" s="13"/>
    </row>
    <row r="233" spans="1:20" ht="26.25" customHeight="1" x14ac:dyDescent="0.2">
      <c r="A233" s="100"/>
      <c r="B233" s="24">
        <v>229</v>
      </c>
      <c r="C233" s="20" t="s">
        <v>40</v>
      </c>
      <c r="D233" s="21" t="s">
        <v>41</v>
      </c>
      <c r="E233" s="46">
        <v>39062</v>
      </c>
      <c r="F233" s="46">
        <v>39075</v>
      </c>
      <c r="G233" s="39">
        <v>63</v>
      </c>
      <c r="H233" s="39" t="s">
        <v>0</v>
      </c>
      <c r="I233" s="55">
        <v>2500000000</v>
      </c>
      <c r="J233" s="45">
        <v>0</v>
      </c>
      <c r="K233" s="55">
        <v>2500000000</v>
      </c>
      <c r="L233" s="12">
        <v>2500000000</v>
      </c>
      <c r="M233" s="12">
        <v>2563482650</v>
      </c>
      <c r="N233" s="45">
        <v>1</v>
      </c>
      <c r="O233" s="45">
        <v>0.1469</v>
      </c>
      <c r="P233" s="45">
        <v>0.14510000000000001</v>
      </c>
      <c r="Q233" s="12">
        <f>Q232-2500000000+L233</f>
        <v>122494592345</v>
      </c>
      <c r="R233" s="12">
        <f>R232-2580540250+M233</f>
        <v>123706294318.5</v>
      </c>
      <c r="S233" s="6"/>
      <c r="T233" s="66"/>
    </row>
    <row r="234" spans="1:20" ht="26.25" customHeight="1" x14ac:dyDescent="0.2">
      <c r="A234" s="100"/>
      <c r="B234" s="24">
        <v>230</v>
      </c>
      <c r="C234" s="20" t="s">
        <v>43</v>
      </c>
      <c r="D234" s="21" t="s">
        <v>41</v>
      </c>
      <c r="E234" s="46">
        <v>39064</v>
      </c>
      <c r="F234" s="46">
        <f t="shared" ref="F234:F241" si="22">+E234+G234</f>
        <v>39078</v>
      </c>
      <c r="G234" s="39">
        <v>14</v>
      </c>
      <c r="H234" s="39" t="s">
        <v>0</v>
      </c>
      <c r="I234" s="53" t="s">
        <v>8</v>
      </c>
      <c r="J234" s="45">
        <v>0</v>
      </c>
      <c r="K234" s="53" t="s">
        <v>8</v>
      </c>
      <c r="L234" s="12">
        <v>26653000000</v>
      </c>
      <c r="M234" s="12">
        <v>26813658953.400002</v>
      </c>
      <c r="N234" s="45">
        <v>1</v>
      </c>
      <c r="O234" s="45">
        <v>0.155</v>
      </c>
      <c r="P234" s="45">
        <v>0.155</v>
      </c>
      <c r="Q234" s="12">
        <f>Q233-23750000000+L234</f>
        <v>125397592345</v>
      </c>
      <c r="R234" s="12">
        <f>R233-23902396625+M234</f>
        <v>126617556646.89999</v>
      </c>
      <c r="S234" s="6"/>
      <c r="T234" s="66"/>
    </row>
    <row r="235" spans="1:20" ht="26.25" customHeight="1" x14ac:dyDescent="0.2">
      <c r="A235" s="100"/>
      <c r="B235" s="24">
        <v>231</v>
      </c>
      <c r="C235" s="20" t="s">
        <v>43</v>
      </c>
      <c r="D235" s="21" t="s">
        <v>41</v>
      </c>
      <c r="E235" s="46">
        <v>39066</v>
      </c>
      <c r="F235" s="46">
        <f t="shared" si="22"/>
        <v>39080</v>
      </c>
      <c r="G235" s="39">
        <v>14</v>
      </c>
      <c r="H235" s="39" t="s">
        <v>0</v>
      </c>
      <c r="I235" s="53" t="s">
        <v>8</v>
      </c>
      <c r="J235" s="45">
        <v>0</v>
      </c>
      <c r="K235" s="53" t="s">
        <v>8</v>
      </c>
      <c r="L235" s="12">
        <v>16833000000</v>
      </c>
      <c r="M235" s="12">
        <v>16934465957.4</v>
      </c>
      <c r="N235" s="45">
        <v>1</v>
      </c>
      <c r="O235" s="45">
        <v>0.155</v>
      </c>
      <c r="P235" s="45">
        <v>0.155</v>
      </c>
      <c r="Q235" s="12">
        <f>Q234-14985000000+L235</f>
        <v>127245592345</v>
      </c>
      <c r="R235" s="12">
        <f>R234-15081154249.5+M235</f>
        <v>128470868354.79999</v>
      </c>
      <c r="S235" s="6"/>
      <c r="T235" s="66"/>
    </row>
    <row r="236" spans="1:20" ht="26.25" customHeight="1" x14ac:dyDescent="0.2">
      <c r="A236" s="100"/>
      <c r="B236" s="24">
        <v>232</v>
      </c>
      <c r="C236" s="20" t="s">
        <v>40</v>
      </c>
      <c r="D236" s="21" t="s">
        <v>42</v>
      </c>
      <c r="E236" s="46">
        <v>39069</v>
      </c>
      <c r="F236" s="46">
        <f t="shared" si="22"/>
        <v>39251</v>
      </c>
      <c r="G236" s="39">
        <v>182</v>
      </c>
      <c r="H236" s="39" t="s">
        <v>0</v>
      </c>
      <c r="I236" s="55">
        <v>4500000000</v>
      </c>
      <c r="J236" s="45">
        <v>0</v>
      </c>
      <c r="K236" s="55">
        <v>4500000000</v>
      </c>
      <c r="L236" s="12">
        <v>4207142965</v>
      </c>
      <c r="M236" s="12">
        <v>4500000000</v>
      </c>
      <c r="N236" s="45">
        <v>1</v>
      </c>
      <c r="O236" s="45">
        <v>0.14080000000000001</v>
      </c>
      <c r="P236" s="45">
        <v>0.13769999999999999</v>
      </c>
      <c r="Q236" s="12">
        <f>127245592345+4207142965</f>
        <v>131452735310</v>
      </c>
      <c r="R236" s="12">
        <f>128470868354.8+4500000000</f>
        <v>132970868354.8</v>
      </c>
      <c r="S236" s="6"/>
      <c r="T236" s="66"/>
    </row>
    <row r="237" spans="1:20" ht="26.25" customHeight="1" x14ac:dyDescent="0.2">
      <c r="A237" s="100"/>
      <c r="B237" s="24">
        <v>233</v>
      </c>
      <c r="C237" s="20" t="s">
        <v>43</v>
      </c>
      <c r="D237" s="21" t="s">
        <v>41</v>
      </c>
      <c r="E237" s="46">
        <v>39071</v>
      </c>
      <c r="F237" s="46">
        <f t="shared" si="22"/>
        <v>39085</v>
      </c>
      <c r="G237" s="39">
        <v>14</v>
      </c>
      <c r="H237" s="39" t="s">
        <v>0</v>
      </c>
      <c r="I237" s="53" t="s">
        <v>8</v>
      </c>
      <c r="J237" s="45">
        <v>0</v>
      </c>
      <c r="K237" s="53" t="s">
        <v>8</v>
      </c>
      <c r="L237" s="12">
        <v>32745000000</v>
      </c>
      <c r="M237" s="12">
        <v>32942380311</v>
      </c>
      <c r="N237" s="45">
        <v>1</v>
      </c>
      <c r="O237" s="45">
        <v>0.155</v>
      </c>
      <c r="P237" s="45">
        <v>0.155</v>
      </c>
      <c r="Q237" s="12">
        <v>124967735310</v>
      </c>
      <c r="R237" s="12">
        <v>126431521524.8</v>
      </c>
      <c r="S237" s="6"/>
      <c r="T237" s="66"/>
    </row>
    <row r="238" spans="1:20" ht="26.25" customHeight="1" x14ac:dyDescent="0.2">
      <c r="A238" s="100"/>
      <c r="B238" s="24">
        <v>234</v>
      </c>
      <c r="C238" s="20" t="s">
        <v>43</v>
      </c>
      <c r="D238" s="21" t="s">
        <v>41</v>
      </c>
      <c r="E238" s="46">
        <v>39073</v>
      </c>
      <c r="F238" s="46">
        <f t="shared" si="22"/>
        <v>39087</v>
      </c>
      <c r="G238" s="39">
        <v>14</v>
      </c>
      <c r="H238" s="39" t="s">
        <v>0</v>
      </c>
      <c r="I238" s="53" t="s">
        <v>8</v>
      </c>
      <c r="J238" s="45">
        <v>0</v>
      </c>
      <c r="K238" s="53" t="s">
        <v>8</v>
      </c>
      <c r="L238" s="12">
        <v>36070000000</v>
      </c>
      <c r="M238" s="12">
        <v>36287422746</v>
      </c>
      <c r="N238" s="45">
        <v>1</v>
      </c>
      <c r="O238" s="45">
        <v>0.155</v>
      </c>
      <c r="P238" s="45">
        <v>0.155</v>
      </c>
      <c r="Q238" s="12">
        <v>129277735310</v>
      </c>
      <c r="R238" s="12">
        <v>130767501342.8</v>
      </c>
      <c r="S238" s="6"/>
      <c r="T238" s="66"/>
    </row>
    <row r="239" spans="1:20" ht="26.25" customHeight="1" x14ac:dyDescent="0.2">
      <c r="A239" s="100"/>
      <c r="B239" s="24">
        <v>235</v>
      </c>
      <c r="C239" s="20" t="s">
        <v>40</v>
      </c>
      <c r="D239" s="21" t="s">
        <v>41</v>
      </c>
      <c r="E239" s="46">
        <v>39076</v>
      </c>
      <c r="F239" s="46">
        <f t="shared" si="22"/>
        <v>39139</v>
      </c>
      <c r="G239" s="39">
        <v>63</v>
      </c>
      <c r="H239" s="39" t="s">
        <v>0</v>
      </c>
      <c r="I239" s="55">
        <v>2500000000</v>
      </c>
      <c r="J239" s="45">
        <v>0</v>
      </c>
      <c r="K239" s="55">
        <v>2500000000</v>
      </c>
      <c r="L239" s="12">
        <v>2500000000</v>
      </c>
      <c r="M239" s="12">
        <v>2561581625</v>
      </c>
      <c r="N239" s="45">
        <v>1</v>
      </c>
      <c r="O239" s="45">
        <v>0.1439</v>
      </c>
      <c r="P239" s="45">
        <v>0.14080000000000001</v>
      </c>
      <c r="Q239" s="12">
        <f>Q238-2500000000+L239</f>
        <v>129277735310</v>
      </c>
      <c r="R239" s="12">
        <f>R238-2579797375+M239</f>
        <v>130749285592.8</v>
      </c>
      <c r="S239" s="6"/>
      <c r="T239" s="66"/>
    </row>
    <row r="240" spans="1:20" ht="26.25" customHeight="1" x14ac:dyDescent="0.2">
      <c r="A240" s="100"/>
      <c r="B240" s="24">
        <v>236</v>
      </c>
      <c r="C240" s="20" t="s">
        <v>43</v>
      </c>
      <c r="D240" s="21" t="s">
        <v>41</v>
      </c>
      <c r="E240" s="46">
        <v>39078</v>
      </c>
      <c r="F240" s="46">
        <f t="shared" si="22"/>
        <v>39092</v>
      </c>
      <c r="G240" s="39">
        <v>14</v>
      </c>
      <c r="H240" s="39" t="s">
        <v>0</v>
      </c>
      <c r="I240" s="53" t="s">
        <v>8</v>
      </c>
      <c r="J240" s="45">
        <v>0</v>
      </c>
      <c r="K240" s="53" t="s">
        <v>8</v>
      </c>
      <c r="L240" s="12">
        <v>32545000000</v>
      </c>
      <c r="M240" s="12">
        <v>32722187998</v>
      </c>
      <c r="N240" s="45">
        <v>1</v>
      </c>
      <c r="O240" s="45">
        <v>0.14000000000000001</v>
      </c>
      <c r="P240" s="45">
        <v>0.14000000000000001</v>
      </c>
      <c r="Q240" s="12">
        <f>Q239-26653000000+L240</f>
        <v>135169735310</v>
      </c>
      <c r="R240" s="12">
        <f>R239-26813658953.4+M240</f>
        <v>136657814637.39999</v>
      </c>
      <c r="S240" s="6"/>
      <c r="T240" s="66"/>
    </row>
    <row r="241" spans="1:20" ht="26.25" customHeight="1" x14ac:dyDescent="0.2">
      <c r="A241" s="101"/>
      <c r="B241" s="27">
        <v>237</v>
      </c>
      <c r="C241" s="20" t="s">
        <v>43</v>
      </c>
      <c r="D241" s="21" t="s">
        <v>41</v>
      </c>
      <c r="E241" s="56">
        <v>39080</v>
      </c>
      <c r="F241" s="56">
        <f t="shared" si="22"/>
        <v>39094</v>
      </c>
      <c r="G241" s="57">
        <v>14</v>
      </c>
      <c r="H241" s="57" t="s">
        <v>0</v>
      </c>
      <c r="I241" s="58" t="s">
        <v>8</v>
      </c>
      <c r="J241" s="59">
        <v>0</v>
      </c>
      <c r="K241" s="58" t="s">
        <v>8</v>
      </c>
      <c r="L241" s="15">
        <v>30490000000</v>
      </c>
      <c r="M241" s="15">
        <v>30655999756</v>
      </c>
      <c r="N241" s="59">
        <v>1</v>
      </c>
      <c r="O241" s="59">
        <v>0.14000000000000001</v>
      </c>
      <c r="P241" s="59">
        <v>0.14000000000000001</v>
      </c>
      <c r="Q241" s="15">
        <f>Q240-16833000000+L241</f>
        <v>148826735310</v>
      </c>
      <c r="R241" s="15">
        <f>R240-16934465957.4+M241</f>
        <v>150379348436</v>
      </c>
      <c r="S241" s="6"/>
      <c r="T241" s="66"/>
    </row>
    <row r="242" spans="1:20" ht="14.25" customHeight="1" x14ac:dyDescent="0.2">
      <c r="A242" s="61"/>
      <c r="B242" s="62"/>
      <c r="C242" s="63"/>
      <c r="D242" s="63"/>
      <c r="E242" s="64"/>
      <c r="F242" s="63"/>
      <c r="G242" s="63"/>
      <c r="H242" s="63"/>
      <c r="I242" s="63"/>
      <c r="J242" s="63"/>
      <c r="K242" s="65"/>
      <c r="L242" s="2">
        <f>SUM(L5:L241)</f>
        <v>1084246184045</v>
      </c>
      <c r="M242" s="62"/>
      <c r="N242" s="63"/>
      <c r="O242" s="63"/>
      <c r="P242" s="1">
        <v>0.1802</v>
      </c>
      <c r="Q242" s="62"/>
      <c r="R242" s="65"/>
      <c r="T242" s="66"/>
    </row>
    <row r="243" spans="1:20" ht="14.25" customHeight="1" x14ac:dyDescent="0.2">
      <c r="A243" s="76"/>
      <c r="B243" s="76"/>
      <c r="C243" s="76"/>
      <c r="D243" s="76"/>
      <c r="E243" s="77"/>
      <c r="F243" s="76"/>
      <c r="G243" s="76"/>
      <c r="H243" s="76"/>
      <c r="I243" s="76"/>
      <c r="J243" s="76"/>
      <c r="K243" s="76"/>
      <c r="L243" s="10"/>
      <c r="M243" s="76"/>
      <c r="N243" s="76"/>
      <c r="O243" s="76"/>
      <c r="P243" s="11"/>
      <c r="Q243" s="76"/>
      <c r="R243" s="76"/>
      <c r="T243" s="66"/>
    </row>
    <row r="244" spans="1:20" x14ac:dyDescent="0.2">
      <c r="A244" s="78" t="s">
        <v>2</v>
      </c>
      <c r="C244" s="5"/>
      <c r="D244" s="5"/>
      <c r="E244" s="5"/>
      <c r="F244" s="5"/>
      <c r="G244" s="5"/>
      <c r="H244" s="5"/>
      <c r="I244" s="79"/>
      <c r="K244" s="66"/>
      <c r="L244" s="66"/>
      <c r="N244" s="80"/>
      <c r="Q244" s="7"/>
      <c r="R244" s="7"/>
      <c r="S244" s="81"/>
      <c r="T244" s="80"/>
    </row>
    <row r="245" spans="1:20" x14ac:dyDescent="0.2">
      <c r="A245" s="82" t="s">
        <v>45</v>
      </c>
      <c r="C245" s="5"/>
      <c r="D245" s="5"/>
      <c r="E245" s="5"/>
      <c r="F245" s="5"/>
      <c r="G245" s="5"/>
      <c r="H245" s="5"/>
      <c r="I245" s="79"/>
      <c r="K245" s="66"/>
      <c r="L245" s="66"/>
      <c r="N245" s="80"/>
      <c r="Q245" s="7"/>
      <c r="R245" s="7"/>
      <c r="S245" s="81"/>
      <c r="T245" s="80"/>
    </row>
    <row r="246" spans="1:20" x14ac:dyDescent="0.2">
      <c r="A246" s="4" t="s">
        <v>44</v>
      </c>
      <c r="C246" s="5"/>
      <c r="D246" s="5"/>
      <c r="E246" s="5"/>
      <c r="F246" s="5"/>
      <c r="G246" s="5"/>
      <c r="H246" s="5"/>
      <c r="I246" s="5"/>
      <c r="L246" s="66"/>
      <c r="M246" s="66"/>
      <c r="Q246" s="66"/>
      <c r="R246" s="66"/>
      <c r="S246" s="81"/>
      <c r="T246" s="83"/>
    </row>
    <row r="247" spans="1:20" x14ac:dyDescent="0.2">
      <c r="A247" s="5" t="s">
        <v>30</v>
      </c>
      <c r="C247" s="5"/>
      <c r="D247" s="5"/>
      <c r="E247" s="5"/>
      <c r="F247" s="5"/>
      <c r="G247" s="5"/>
      <c r="H247" s="5"/>
      <c r="I247" s="5"/>
      <c r="K247" s="66"/>
      <c r="L247" s="66"/>
      <c r="M247" s="66"/>
      <c r="N247" s="66"/>
      <c r="O247" s="66"/>
      <c r="P247" s="66"/>
      <c r="Q247" s="84"/>
      <c r="R247" s="84"/>
      <c r="T247" s="81"/>
    </row>
    <row r="248" spans="1:20" ht="15" customHeight="1" x14ac:dyDescent="0.2">
      <c r="A248" s="92" t="s">
        <v>31</v>
      </c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S248" s="81"/>
      <c r="T248" s="81"/>
    </row>
    <row r="249" spans="1:20" ht="27" customHeight="1" x14ac:dyDescent="0.2">
      <c r="A249" s="94" t="s">
        <v>3</v>
      </c>
      <c r="B249" s="94"/>
      <c r="C249" s="94"/>
      <c r="D249" s="94"/>
      <c r="E249" s="94"/>
      <c r="F249" s="94"/>
      <c r="G249" s="94"/>
      <c r="H249" s="93" t="s">
        <v>34</v>
      </c>
      <c r="I249" s="94"/>
      <c r="J249" s="94"/>
      <c r="K249" s="94"/>
      <c r="L249" s="94"/>
      <c r="M249" s="94"/>
      <c r="N249" s="94"/>
      <c r="O249" s="94"/>
      <c r="R249" s="84"/>
      <c r="T249" s="81"/>
    </row>
    <row r="250" spans="1:20" ht="22.5" customHeight="1" x14ac:dyDescent="0.2">
      <c r="A250" s="94" t="s">
        <v>4</v>
      </c>
      <c r="B250" s="94"/>
      <c r="C250" s="94"/>
      <c r="D250" s="94"/>
      <c r="E250" s="94"/>
      <c r="F250" s="94"/>
      <c r="G250" s="94"/>
      <c r="H250" s="94"/>
      <c r="I250" s="94"/>
      <c r="J250" s="93" t="s">
        <v>35</v>
      </c>
      <c r="K250" s="94"/>
      <c r="L250" s="94"/>
      <c r="M250" s="94"/>
      <c r="N250" s="94"/>
      <c r="O250" s="94"/>
      <c r="P250" s="94"/>
      <c r="Q250" s="85"/>
      <c r="R250" s="85"/>
      <c r="S250" s="85"/>
      <c r="T250" s="66"/>
    </row>
    <row r="251" spans="1:20" ht="15" customHeight="1" x14ac:dyDescent="0.2">
      <c r="A251" s="4" t="s">
        <v>5</v>
      </c>
      <c r="C251" s="5"/>
      <c r="D251" s="5"/>
      <c r="E251" s="5"/>
      <c r="F251" s="5"/>
      <c r="G251" s="5"/>
      <c r="H251" s="4" t="s">
        <v>32</v>
      </c>
      <c r="I251" s="5"/>
    </row>
    <row r="252" spans="1:20" ht="15" customHeight="1" x14ac:dyDescent="0.2">
      <c r="A252" s="4" t="s">
        <v>6</v>
      </c>
      <c r="C252" s="5"/>
      <c r="D252" s="5"/>
      <c r="E252" s="5"/>
      <c r="F252" s="5"/>
      <c r="G252" s="5"/>
      <c r="H252" s="5"/>
      <c r="I252" s="5"/>
      <c r="K252" s="5" t="s">
        <v>33</v>
      </c>
    </row>
    <row r="253" spans="1:20" ht="22.5" customHeight="1" x14ac:dyDescent="0.2">
      <c r="A253" s="4" t="s">
        <v>9</v>
      </c>
      <c r="B253" s="5"/>
      <c r="C253" s="5"/>
      <c r="D253" s="5"/>
      <c r="E253" s="5"/>
      <c r="F253" s="5"/>
      <c r="G253" s="5"/>
      <c r="H253" s="5"/>
      <c r="I253" s="5"/>
      <c r="L253" s="90" t="s">
        <v>36</v>
      </c>
      <c r="M253" s="91"/>
      <c r="N253" s="91"/>
      <c r="O253" s="91"/>
      <c r="P253" s="91"/>
      <c r="Q253" s="91"/>
      <c r="R253" s="91"/>
    </row>
    <row r="254" spans="1:20" x14ac:dyDescent="0.2">
      <c r="A254" s="4" t="s">
        <v>7</v>
      </c>
      <c r="N254" s="4" t="s">
        <v>37</v>
      </c>
    </row>
    <row r="255" spans="1:20" x14ac:dyDescent="0.2">
      <c r="N255" s="5" t="s">
        <v>38</v>
      </c>
    </row>
  </sheetData>
  <sheetProtection password="CF7A" sheet="1"/>
  <mergeCells count="29">
    <mergeCell ref="F3:F4"/>
    <mergeCell ref="A185:A229"/>
    <mergeCell ref="A230:A241"/>
    <mergeCell ref="A5:A39"/>
    <mergeCell ref="A40:A83"/>
    <mergeCell ref="A84:A135"/>
    <mergeCell ref="A136:A184"/>
    <mergeCell ref="C3:C4"/>
    <mergeCell ref="D3:D4"/>
    <mergeCell ref="G3:G4"/>
    <mergeCell ref="P3:P4"/>
    <mergeCell ref="O3:O4"/>
    <mergeCell ref="E3:E4"/>
    <mergeCell ref="N3:N4"/>
    <mergeCell ref="L3:M3"/>
    <mergeCell ref="J3:J4"/>
    <mergeCell ref="K3:K4"/>
    <mergeCell ref="H3:H4"/>
    <mergeCell ref="I3:I4"/>
    <mergeCell ref="L253:R253"/>
    <mergeCell ref="A248:K248"/>
    <mergeCell ref="H249:O249"/>
    <mergeCell ref="J250:P250"/>
    <mergeCell ref="A250:I250"/>
    <mergeCell ref="A1:R1"/>
    <mergeCell ref="A3:A4"/>
    <mergeCell ref="A249:G249"/>
    <mergeCell ref="Q3:R3"/>
    <mergeCell ref="B3:B4"/>
  </mergeCells>
  <phoneticPr fontId="2" type="noConversion"/>
  <printOptions horizontalCentered="1"/>
  <pageMargins left="0.59055118110236227" right="0.59055118110236227" top="1.1811023622047245" bottom="0.78740157480314965" header="0.39370078740157483" footer="0.39370078740157483"/>
  <pageSetup paperSize="9" scale="52" orientation="landscape" r:id="rId1"/>
  <headerFooter alignWithMargins="0">
    <oddHeader>&amp;L&amp;"Arial,Bold"NARODNA BANKA SRBIJE&amp;"Arial,Regular"
Sektor za poslove monetarnog sistema i politike</oddHeader>
    <oddFooter>&amp;L&amp;7Izvor: NBS
Dozvoljeno je preuzimanje i korišćenje baza podataka, ali NBS iz tehničkih razloga ne garantuje za njihovu verodostojnost i potpunost&amp;R&amp;P</oddFooter>
  </headerFooter>
  <rowBreaks count="9" manualBreakCount="9">
    <brk id="31" max="17" man="1"/>
    <brk id="58" max="17" man="1"/>
    <brk id="85" max="17" man="1"/>
    <brk id="113" max="17" man="1"/>
    <brk id="139" max="17" man="1"/>
    <brk id="167" max="17" man="1"/>
    <brk id="194" max="17" man="1"/>
    <brk id="222" max="17" man="1"/>
    <brk id="9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2006</vt:lpstr>
      <vt:lpstr>'2006'!Print_Area</vt:lpstr>
      <vt:lpstr>'2006'!Print_Titles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2011-08-05T08:43:29Z</cp:lastPrinted>
  <dcterms:created xsi:type="dcterms:W3CDTF">2005-02-25T09:29:39Z</dcterms:created>
  <dcterms:modified xsi:type="dcterms:W3CDTF">2025-02-27T10:52:49Z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39E53A16A19725B8A768535E9D4BC848778D0F61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09A2964C90414D67AB14B45C05C7CDD4</vt:lpwstr>
  </property>
  <property fmtid="{D5CDD505-2E9C-101B-9397-08002B2CF9AE}" pid="16" name="PM_OriginationTimeStamp">
    <vt:lpwstr>2025-02-27T10:52:49Z</vt:lpwstr>
  </property>
  <property fmtid="{D5CDD505-2E9C-101B-9397-08002B2CF9AE}" pid="17" name="PM_Hash_Version">
    <vt:lpwstr>2016.1</vt:lpwstr>
  </property>
  <property fmtid="{D5CDD505-2E9C-101B-9397-08002B2CF9AE}" pid="18" name="PM_Hash_Salt_Prev">
    <vt:lpwstr>F87503056B8287273C5DE891A8EA9AD2</vt:lpwstr>
  </property>
  <property fmtid="{D5CDD505-2E9C-101B-9397-08002B2CF9AE}" pid="19" name="PM_Hash_Salt">
    <vt:lpwstr>F87503056B8287273C5DE891A8EA9AD2</vt:lpwstr>
  </property>
  <property fmtid="{D5CDD505-2E9C-101B-9397-08002B2CF9AE}" pid="20" name="PM_PrintOutPlacement_XLS">
    <vt:lpwstr/>
  </property>
</Properties>
</file>