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ijana.rakovic\Desktop\SecurityAuctionTradeDayArchive\"/>
    </mc:Choice>
  </mc:AlternateContent>
  <xr:revisionPtr revIDLastSave="0" documentId="8_{96B27D87-F0A8-429E-B606-14617EDCB8C7}" xr6:coauthVersionLast="47" xr6:coauthVersionMax="47" xr10:uidLastSave="{00000000-0000-0000-0000-000000000000}"/>
  <bookViews>
    <workbookView xWindow="-120" yWindow="-120" windowWidth="20730" windowHeight="11160" tabRatio="813"/>
  </bookViews>
  <sheets>
    <sheet name="2007" sheetId="1" r:id="rId1"/>
  </sheets>
  <definedNames>
    <definedName name="_xlnm.Print_Area" localSheetId="0">'2007'!$A$1:$S$141</definedName>
    <definedName name="_xlnm.Print_Titles" localSheetId="0">'2007'!$1:$4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" i="1" l="1"/>
  <c r="M127" i="1"/>
  <c r="S102" i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R99" i="1"/>
  <c r="R100" i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T126" i="1"/>
  <c r="T5" i="1"/>
  <c r="T6" i="1"/>
  <c r="T7" i="1"/>
  <c r="T8" i="1"/>
  <c r="T9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S99" i="1"/>
  <c r="S100" i="1"/>
  <c r="S101" i="1" s="1"/>
  <c r="G101" i="1"/>
  <c r="G100" i="1"/>
  <c r="G99" i="1"/>
  <c r="S94" i="1"/>
  <c r="S95" i="1" s="1"/>
  <c r="S96" i="1" s="1"/>
  <c r="S97" i="1" s="1"/>
  <c r="S98" i="1" s="1"/>
  <c r="R94" i="1"/>
  <c r="R95" i="1" s="1"/>
  <c r="R96" i="1" s="1"/>
  <c r="R97" i="1" s="1"/>
  <c r="R98" i="1" s="1"/>
  <c r="G98" i="1"/>
  <c r="G97" i="1"/>
  <c r="G96" i="1"/>
  <c r="G95" i="1"/>
  <c r="G94" i="1"/>
  <c r="S93" i="1"/>
  <c r="R93" i="1"/>
  <c r="G93" i="1"/>
  <c r="S90" i="1"/>
  <c r="S91" i="1"/>
  <c r="S92" i="1" s="1"/>
  <c r="R90" i="1"/>
  <c r="R91" i="1" s="1"/>
  <c r="R92" i="1" s="1"/>
  <c r="G92" i="1"/>
  <c r="G91" i="1"/>
  <c r="G90" i="1"/>
  <c r="R89" i="1"/>
  <c r="S89" i="1"/>
  <c r="G89" i="1"/>
  <c r="S80" i="1"/>
  <c r="S81" i="1"/>
  <c r="S82" i="1"/>
  <c r="S83" i="1" s="1"/>
  <c r="S84" i="1" s="1"/>
  <c r="S85" i="1" s="1"/>
  <c r="S86" i="1" s="1"/>
  <c r="S87" i="1" s="1"/>
  <c r="S88" i="1" s="1"/>
  <c r="R81" i="1"/>
  <c r="R82" i="1"/>
  <c r="R83" i="1" s="1"/>
  <c r="R84" i="1" s="1"/>
  <c r="R85" i="1" s="1"/>
  <c r="R86" i="1" s="1"/>
  <c r="R87" i="1" s="1"/>
  <c r="R88" i="1" s="1"/>
  <c r="G88" i="1"/>
  <c r="G87" i="1"/>
  <c r="G86" i="1"/>
  <c r="G85" i="1"/>
  <c r="G84" i="1"/>
  <c r="G83" i="1"/>
  <c r="G82" i="1"/>
  <c r="G81" i="1"/>
  <c r="R80" i="1"/>
  <c r="G80" i="1"/>
  <c r="S79" i="1"/>
  <c r="R79" i="1"/>
  <c r="G79" i="1"/>
  <c r="S78" i="1"/>
  <c r="R78" i="1"/>
  <c r="G78" i="1"/>
  <c r="S77" i="1"/>
  <c r="R77" i="1"/>
  <c r="G77" i="1"/>
  <c r="G76" i="1"/>
  <c r="S75" i="1"/>
  <c r="S76" i="1" s="1"/>
  <c r="R75" i="1"/>
  <c r="R76" i="1" s="1"/>
  <c r="G75" i="1"/>
  <c r="S68" i="1"/>
  <c r="S69" i="1" s="1"/>
  <c r="S70" i="1" s="1"/>
  <c r="S71" i="1" s="1"/>
  <c r="S72" i="1" s="1"/>
  <c r="S73" i="1" s="1"/>
  <c r="S74" i="1" s="1"/>
  <c r="R68" i="1"/>
  <c r="R69" i="1"/>
  <c r="R70" i="1" s="1"/>
  <c r="R71" i="1" s="1"/>
  <c r="R72" i="1" s="1"/>
  <c r="R73" i="1" s="1"/>
  <c r="R74" i="1" s="1"/>
  <c r="G74" i="1"/>
  <c r="G73" i="1"/>
  <c r="G72" i="1"/>
  <c r="G71" i="1"/>
  <c r="G70" i="1"/>
  <c r="G69" i="1"/>
  <c r="G68" i="1"/>
  <c r="S67" i="1"/>
  <c r="R67" i="1"/>
  <c r="G67" i="1"/>
  <c r="S66" i="1"/>
  <c r="R66" i="1"/>
  <c r="G65" i="1"/>
  <c r="G66" i="1"/>
  <c r="S65" i="1"/>
  <c r="R65" i="1"/>
  <c r="S64" i="1"/>
  <c r="R64" i="1"/>
  <c r="G64" i="1"/>
  <c r="S63" i="1"/>
  <c r="R63" i="1"/>
  <c r="G63" i="1"/>
  <c r="S62" i="1"/>
  <c r="R62" i="1"/>
  <c r="G62" i="1"/>
  <c r="S54" i="1"/>
  <c r="S55" i="1"/>
  <c r="S56" i="1" s="1"/>
  <c r="S57" i="1" s="1"/>
  <c r="S58" i="1" s="1"/>
  <c r="S59" i="1" s="1"/>
  <c r="S60" i="1" s="1"/>
  <c r="S61" i="1" s="1"/>
  <c r="R54" i="1"/>
  <c r="R55" i="1"/>
  <c r="R56" i="1" s="1"/>
  <c r="R57" i="1" s="1"/>
  <c r="R58" i="1" s="1"/>
  <c r="R59" i="1" s="1"/>
  <c r="R60" i="1" s="1"/>
  <c r="R61" i="1" s="1"/>
  <c r="G61" i="1"/>
  <c r="G60" i="1"/>
  <c r="G59" i="1"/>
  <c r="G58" i="1"/>
  <c r="G57" i="1"/>
  <c r="G56" i="1"/>
  <c r="G55" i="1"/>
  <c r="S53" i="1"/>
  <c r="R53" i="1"/>
  <c r="G54" i="1"/>
  <c r="G53" i="1"/>
  <c r="S52" i="1"/>
  <c r="R52" i="1"/>
  <c r="G52" i="1"/>
  <c r="R51" i="1"/>
  <c r="S51" i="1"/>
  <c r="G51" i="1"/>
  <c r="S49" i="1"/>
  <c r="S50" i="1" s="1"/>
  <c r="R49" i="1"/>
  <c r="R50" i="1"/>
  <c r="G50" i="1"/>
  <c r="G49" i="1"/>
  <c r="S46" i="1"/>
  <c r="S47" i="1"/>
  <c r="S48" i="1"/>
  <c r="R46" i="1"/>
  <c r="R47" i="1" s="1"/>
  <c r="R48" i="1" s="1"/>
  <c r="G48" i="1"/>
  <c r="G47" i="1"/>
  <c r="G46" i="1"/>
  <c r="S45" i="1"/>
  <c r="R45" i="1"/>
  <c r="G45" i="1"/>
  <c r="S40" i="1"/>
  <c r="S41" i="1"/>
  <c r="S43" i="1" s="1"/>
  <c r="S44" i="1" s="1"/>
  <c r="R40" i="1"/>
  <c r="R41" i="1"/>
  <c r="R43" i="1"/>
  <c r="R44" i="1" s="1"/>
  <c r="G44" i="1"/>
  <c r="G43" i="1"/>
  <c r="G41" i="1"/>
  <c r="G40" i="1"/>
  <c r="S39" i="1"/>
  <c r="R39" i="1"/>
  <c r="G39" i="1"/>
  <c r="S36" i="1"/>
  <c r="S37" i="1" s="1"/>
  <c r="S38" i="1" s="1"/>
  <c r="R36" i="1"/>
  <c r="R37" i="1"/>
  <c r="R38" i="1" s="1"/>
  <c r="G38" i="1"/>
  <c r="G37" i="1"/>
  <c r="G36" i="1"/>
  <c r="S35" i="1"/>
  <c r="R35" i="1"/>
  <c r="G35" i="1"/>
  <c r="S34" i="1"/>
  <c r="R34" i="1"/>
  <c r="G34" i="1"/>
  <c r="S31" i="1"/>
  <c r="S32" i="1" s="1"/>
  <c r="S33" i="1" s="1"/>
  <c r="R31" i="1"/>
  <c r="R32" i="1" s="1"/>
  <c r="R33" i="1" s="1"/>
  <c r="G33" i="1"/>
  <c r="G32" i="1"/>
  <c r="G31" i="1"/>
  <c r="S30" i="1"/>
  <c r="R30" i="1"/>
  <c r="G30" i="1"/>
  <c r="S29" i="1"/>
  <c r="R29" i="1"/>
  <c r="G29" i="1"/>
  <c r="S26" i="1"/>
  <c r="S27" i="1"/>
  <c r="S28" i="1" s="1"/>
  <c r="R26" i="1"/>
  <c r="R27" i="1"/>
  <c r="R28" i="1" s="1"/>
  <c r="G28" i="1"/>
  <c r="G27" i="1"/>
  <c r="G26" i="1"/>
  <c r="S25" i="1"/>
  <c r="R25" i="1"/>
  <c r="G25" i="1"/>
  <c r="S24" i="1"/>
  <c r="R24" i="1"/>
  <c r="G24" i="1"/>
  <c r="S21" i="1"/>
  <c r="S22" i="1"/>
  <c r="S23" i="1"/>
  <c r="R21" i="1"/>
  <c r="R22" i="1" s="1"/>
  <c r="R23" i="1" s="1"/>
  <c r="G23" i="1"/>
  <c r="G22" i="1"/>
  <c r="G21" i="1"/>
  <c r="S20" i="1"/>
  <c r="R20" i="1"/>
  <c r="G20" i="1"/>
  <c r="S19" i="1"/>
  <c r="R19" i="1"/>
  <c r="G19" i="1"/>
  <c r="S16" i="1"/>
  <c r="S17" i="1" s="1"/>
  <c r="S18" i="1" s="1"/>
  <c r="R16" i="1"/>
  <c r="R17" i="1" s="1"/>
  <c r="R18" i="1" s="1"/>
  <c r="G18" i="1"/>
  <c r="G17" i="1"/>
  <c r="G16" i="1"/>
  <c r="S15" i="1"/>
  <c r="R15" i="1"/>
  <c r="G15" i="1"/>
  <c r="S14" i="1"/>
  <c r="R14" i="1"/>
  <c r="G14" i="1"/>
  <c r="S10" i="1"/>
  <c r="S11" i="1"/>
  <c r="S12" i="1" s="1"/>
  <c r="S13" i="1" s="1"/>
  <c r="R10" i="1"/>
  <c r="R11" i="1" s="1"/>
  <c r="R12" i="1" s="1"/>
  <c r="R13" i="1" s="1"/>
  <c r="G13" i="1"/>
  <c r="G12" i="1"/>
  <c r="G11" i="1"/>
  <c r="G10" i="1"/>
  <c r="S9" i="1"/>
  <c r="R9" i="1"/>
  <c r="G9" i="1"/>
  <c r="S6" i="1"/>
  <c r="S7" i="1" s="1"/>
  <c r="S8" i="1" s="1"/>
  <c r="R6" i="1"/>
  <c r="R7" i="1"/>
  <c r="R8" i="1"/>
  <c r="G8" i="1"/>
  <c r="G7" i="1"/>
  <c r="G6" i="1"/>
  <c r="G5" i="1"/>
</calcChain>
</file>

<file path=xl/sharedStrings.xml><?xml version="1.0" encoding="utf-8"?>
<sst xmlns="http://schemas.openxmlformats.org/spreadsheetml/2006/main" count="734" uniqueCount="48">
  <si>
    <t>BZ NBS</t>
  </si>
  <si>
    <t>NAPOMENE:</t>
  </si>
  <si>
    <t>-</t>
  </si>
  <si>
    <t>u dinarima/ in dinars</t>
  </si>
  <si>
    <t>Godina/
Year</t>
  </si>
  <si>
    <t>Red.br.aukcije/
Auction number</t>
  </si>
  <si>
    <t>Vrsta aukcije/
Type of auction</t>
  </si>
  <si>
    <t>Vrsta transakcije/
Type of transaction</t>
  </si>
  <si>
    <t>Datum aukcije/
Auction date</t>
  </si>
  <si>
    <t>Datum dospeća/
Maturity date</t>
  </si>
  <si>
    <t>Ročnost transakcija/
Maturity of transaction</t>
  </si>
  <si>
    <t>Vrsta HoV/
Type of securities</t>
  </si>
  <si>
    <t>Emitovano/
ponuđeno na prodaju - nominalni iznos HoV /Volume of issue
/offered for sale - nominal value of securities</t>
  </si>
  <si>
    <t>Procenat uvećanja/
Upward percentage adjustment</t>
  </si>
  <si>
    <t>Kupovna cena HoV (repo transakcije)/
Purchase price of securities (repo transactions)</t>
  </si>
  <si>
    <t>Prodato HoV/Sold securities</t>
  </si>
  <si>
    <t>Procenat realizacije/
Realization ratio</t>
  </si>
  <si>
    <t>Najviša prihvaćena kamatna stopa na aukciji (p.a.)/
The highest accepted interest rate on auction (p.a.)</t>
  </si>
  <si>
    <t>Prosečna ponderisana kamatna stopa (p.a.)/
Average weighted interest rate (p.a.)</t>
  </si>
  <si>
    <t>Stanje HoV/Outstanding of securities</t>
  </si>
  <si>
    <t>Diskontni iznos/
kupovna cena/
Discount value/
purchase price</t>
  </si>
  <si>
    <t>Nominalni iznos/
reotkupna cena/
Nominal value/
repurchase price</t>
  </si>
  <si>
    <t>Pregled aukcijske trgovine hartijama od vrednosti kojima NBS obavlja operacije na otvorenom tržištu,
po danima za 2007. godinu / Report on auction trade of securities used in open market operations of the NBS, daily for 2007</t>
  </si>
  <si>
    <t xml:space="preserve">    fiks. - aukcije po metodi fiksne kamatne stope. /  fix. - fixed interest rate auctions.</t>
  </si>
  <si>
    <t>Vrsta operacije/Type of operation</t>
  </si>
  <si>
    <t>fiksna/fix</t>
  </si>
  <si>
    <t>GO/MO</t>
  </si>
  <si>
    <t xml:space="preserve">reverzna repo transakcija/                       reverse repo transaction </t>
  </si>
  <si>
    <t>DO/LTO</t>
  </si>
  <si>
    <t>var-viš/var-mult</t>
  </si>
  <si>
    <t>trajna prodaja/outright sell</t>
  </si>
  <si>
    <t xml:space="preserve">   GO - glavne operacije, DO - operacije dužih ročnosti, OFP - operacije finog podešavanja / MO - main operations, LTO - longer term operations, FTO - fine tuning operations</t>
  </si>
  <si>
    <r>
      <rPr>
        <vertAlign val="superscript"/>
        <sz val="8"/>
        <rFont val="Arial"/>
        <family val="2"/>
      </rPr>
      <t xml:space="preserve">1) </t>
    </r>
    <r>
      <rPr>
        <sz val="8"/>
        <rFont val="Arial"/>
        <family val="2"/>
      </rPr>
      <t>Vrsta operacije je formalno definisana od 1.7.2011. godine/Type of operation is formaly defined from 1 July 2011.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</si>
  <si>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</rPr>
      <t xml:space="preserve"> Reverzna repo transakcija - repo prodaja HoV/ Reverse repo transaction - repo sale of securities</t>
    </r>
  </si>
  <si>
    <r>
      <t>3)</t>
    </r>
    <r>
      <rPr>
        <sz val="8"/>
        <rFont val="Arial"/>
        <family val="2"/>
        <charset val="238"/>
      </rPr>
      <t xml:space="preserve"> var.-viš. - aukcije po metodi varijabilne višestruke kamatne stope. / 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var.-mult. - variable multiple interest rate auctions.</t>
    </r>
  </si>
  <si>
    <r>
      <t>4)</t>
    </r>
    <r>
      <rPr>
        <sz val="8"/>
        <rFont val="Arial"/>
        <family val="2"/>
        <charset val="238"/>
      </rPr>
      <t xml:space="preserve"> BZ NBS - blagajnički zapisi Narodne Banke Srbije, RSOB - dugoročne obveznice Republike Srbije /  </t>
    </r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BZ NBS - NBS Bills, RSOB - long-term bonds of the Republic of Serbia.</t>
    </r>
  </si>
  <si>
    <r>
      <t>5)</t>
    </r>
    <r>
      <rPr>
        <sz val="8"/>
        <rFont val="Arial"/>
        <family val="2"/>
        <charset val="238"/>
      </rPr>
      <t xml:space="preserve"> Diskontni iznos HoV i nominalni iznos HoV - prilikom trajne prodaje,
    Kupovna cena HoV i reotkupna cena HoV - prilikom repo prodaje.</t>
    </r>
  </si>
  <si>
    <r>
      <t>/</t>
    </r>
    <r>
      <rPr>
        <vertAlign val="superscript"/>
        <sz val="8"/>
        <rFont val="Arial"/>
        <family val="2"/>
        <charset val="238"/>
      </rPr>
      <t xml:space="preserve"> 5)</t>
    </r>
    <r>
      <rPr>
        <sz val="8"/>
        <rFont val="Arial"/>
        <family val="2"/>
        <charset val="238"/>
      </rPr>
      <t xml:space="preserve"> Discount value of securities and nominal value of securities  - for outright transactions,
    Purchase price of securities and repurchase price of securities - for repo transactions.</t>
    </r>
  </si>
  <si>
    <r>
      <t>6)</t>
    </r>
    <r>
      <rPr>
        <sz val="8"/>
        <rFont val="Arial"/>
        <family val="2"/>
        <charset val="238"/>
      </rPr>
      <t xml:space="preserve"> Kod aukcija po fiksnoj kamatnoj stopi prikazana je unapred utvrđena kamatna stopa (repo stopa) iz Odluke o 
    aukciji, koja je istovremeno i prosečna ponderisana kamatna (repo) stopa za tu aukciju. </t>
    </r>
  </si>
  <si>
    <r>
      <t xml:space="preserve"> /</t>
    </r>
    <r>
      <rPr>
        <vertAlign val="superscript"/>
        <sz val="8"/>
        <rFont val="Arial"/>
        <family val="2"/>
        <charset val="238"/>
      </rPr>
      <t xml:space="preserve"> 6)</t>
    </r>
    <r>
      <rPr>
        <sz val="8"/>
        <rFont val="Arial"/>
        <family val="2"/>
        <charset val="238"/>
      </rPr>
      <t xml:space="preserve"> Interest rate on fixed rate auctions is presented as previosly specified  interest (repo) rate in Decision on auction,
    and that interest (repo) rate is also average weighted interest rate.</t>
    </r>
  </si>
  <si>
    <r>
      <t>7)</t>
    </r>
    <r>
      <rPr>
        <sz val="8"/>
        <rFont val="Arial"/>
        <family val="2"/>
        <charset val="238"/>
      </rPr>
      <t xml:space="preserve"> Diskontni iznos HoV i reotkupna cena HoV za prodate HoV se računaju po prostoj metodi act/360.</t>
    </r>
  </si>
  <si>
    <r>
      <t>7)</t>
    </r>
    <r>
      <rPr>
        <sz val="8"/>
        <rFont val="Arial"/>
        <family val="2"/>
        <charset val="238"/>
      </rPr>
      <t xml:space="preserve"> Discount value of sold securities and repurchase price of sold securities are calculated by proportional method act/360.</t>
    </r>
  </si>
  <si>
    <r>
      <t>8)</t>
    </r>
    <r>
      <rPr>
        <sz val="8"/>
        <rFont val="Arial"/>
        <family val="2"/>
        <charset val="238"/>
      </rPr>
      <t xml:space="preserve"> Za period 2000.-2005. godina svi podaci su prikazani zbirno, osim stanja hartija od vrednosti u portfelju banaka koje predstavlja stanje na 31.12. svake godine.</t>
    </r>
  </si>
  <si>
    <r>
      <t xml:space="preserve">/ </t>
    </r>
    <r>
      <rPr>
        <vertAlign val="superscript"/>
        <sz val="8"/>
        <rFont val="Arial"/>
        <family val="2"/>
        <charset val="238"/>
      </rPr>
      <t>8)</t>
    </r>
    <r>
      <rPr>
        <sz val="8"/>
        <rFont val="Arial"/>
        <family val="2"/>
        <charset val="238"/>
      </rPr>
      <t xml:space="preserve"> For period 2000-2005 aggregate data are presented, except banks securities potfolio statement, which is presented with statement on December 31st, every year</t>
    </r>
  </si>
  <si>
    <r>
      <t xml:space="preserve">9)  </t>
    </r>
    <r>
      <rPr>
        <sz val="8"/>
        <rFont val="Arial"/>
        <family val="2"/>
        <charset val="238"/>
      </rPr>
      <t>Ukoliko u koloni Emitovano/ponuđeno na prodaju nije naveden iznos, radi se o modelu aukcija na kojima Narodna banka Srbije ne objavljuje unapred nominalnu vrednost hartija koje se prodaju.</t>
    </r>
  </si>
  <si>
    <r>
      <t>/</t>
    </r>
    <r>
      <rPr>
        <vertAlign val="superscript"/>
        <sz val="8"/>
        <rFont val="Arial"/>
        <family val="2"/>
        <charset val="238"/>
      </rPr>
      <t xml:space="preserve"> 9) </t>
    </r>
    <r>
      <rPr>
        <sz val="8"/>
        <rFont val="Arial"/>
        <family val="2"/>
        <charset val="238"/>
      </rPr>
      <t>If National bank of Serbia organizes auctions without preannouncing nominal value of offered securities, there is no amount in column Volume of issue/offered for sale.</t>
    </r>
  </si>
  <si>
    <r>
      <t xml:space="preserve">10)  </t>
    </r>
    <r>
      <rPr>
        <sz val="8"/>
        <rFont val="Arial"/>
        <family val="2"/>
        <charset val="238"/>
      </rPr>
      <t xml:space="preserve">Koeficijent realizacije na aukciji se izračunava u odnosu na nominalnu vrednost HoV koju je NBS objavila, </t>
    </r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ukoliko ova vrednost nije objavljena koeficijent realizacije se računa u odnosu na dostavljene ponude banaka.</t>
    </r>
  </si>
  <si>
    <r>
      <t>10)</t>
    </r>
    <r>
      <rPr>
        <sz val="8"/>
        <rFont val="Arial"/>
        <family val="2"/>
        <charset val="238"/>
      </rPr>
      <t xml:space="preserve"> Realization ratio = volume of realization/volume of offered for sale if NBS announced offered amount.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</si>
</sst>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9" formatCode="_-* #,##0.00\ _D_i_n_._-;\-* #,##0.00\ _D_i_n_._-;_-* &quot;-&quot;??\ _D_i_n_._-;_-@_-"/>
    <numFmt numFmtId="194" formatCode="#,##0.0000"/>
    <numFmt numFmtId="201" formatCode="d\.mmm"/>
  </numFmts>
  <fonts count="13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top"/>
    </xf>
    <xf numFmtId="17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4">
    <xf numFmtId="0" fontId="0" fillId="0" borderId="0" xfId="0" applyAlignment="1"/>
    <xf numFmtId="4" fontId="0" fillId="0" borderId="0" xfId="0" applyNumberFormat="1" applyAlignment="1"/>
    <xf numFmtId="10" fontId="0" fillId="0" borderId="0" xfId="0" applyNumberFormat="1" applyAlignment="1"/>
    <xf numFmtId="194" fontId="0" fillId="0" borderId="0" xfId="0" applyNumberFormat="1" applyAlignment="1"/>
    <xf numFmtId="0" fontId="7" fillId="0" borderId="0" xfId="0" applyFont="1" applyAlignment="1"/>
    <xf numFmtId="0" fontId="6" fillId="0" borderId="0" xfId="0" applyFont="1" applyAlignment="1"/>
    <xf numFmtId="0" fontId="5" fillId="0" borderId="0" xfId="0" applyFont="1" applyAlignment="1"/>
    <xf numFmtId="0" fontId="7" fillId="0" borderId="0" xfId="0" applyFont="1" applyFill="1" applyAlignment="1"/>
    <xf numFmtId="0" fontId="6" fillId="0" borderId="0" xfId="0" applyFont="1" applyFill="1" applyAlignment="1"/>
    <xf numFmtId="4" fontId="2" fillId="0" borderId="0" xfId="0" applyNumberFormat="1" applyFont="1" applyFill="1" applyBorder="1" applyAlignment="1"/>
    <xf numFmtId="4" fontId="6" fillId="0" borderId="0" xfId="0" applyNumberFormat="1" applyFont="1" applyAlignment="1"/>
    <xf numFmtId="0" fontId="0" fillId="0" borderId="0" xfId="0" applyBorder="1" applyAlignment="1"/>
    <xf numFmtId="0" fontId="3" fillId="0" borderId="0" xfId="0" applyFont="1" applyBorder="1" applyAlignment="1"/>
    <xf numFmtId="4" fontId="3" fillId="0" borderId="0" xfId="0" applyNumberFormat="1" applyFont="1" applyFill="1" applyBorder="1" applyAlignment="1"/>
    <xf numFmtId="10" fontId="3" fillId="0" borderId="0" xfId="0" applyNumberFormat="1" applyFont="1" applyFill="1" applyBorder="1" applyAlignment="1"/>
    <xf numFmtId="4" fontId="8" fillId="0" borderId="1" xfId="0" applyNumberFormat="1" applyFont="1" applyFill="1" applyBorder="1">
      <alignment vertical="top"/>
    </xf>
    <xf numFmtId="4" fontId="8" fillId="0" borderId="2" xfId="0" applyNumberFormat="1" applyFont="1" applyFill="1" applyBorder="1">
      <alignment vertical="top"/>
    </xf>
    <xf numFmtId="179" fontId="9" fillId="0" borderId="0" xfId="1" applyFont="1" applyFill="1"/>
    <xf numFmtId="4" fontId="10" fillId="0" borderId="0" xfId="0" applyNumberFormat="1" applyFont="1" applyAlignment="1"/>
    <xf numFmtId="0" fontId="10" fillId="0" borderId="0" xfId="0" applyFont="1" applyAlignment="1"/>
    <xf numFmtId="4" fontId="3" fillId="0" borderId="3" xfId="0" applyNumberFormat="1" applyFont="1" applyFill="1" applyBorder="1" applyAlignment="1"/>
    <xf numFmtId="10" fontId="3" fillId="0" borderId="3" xfId="0" applyNumberFormat="1" applyFont="1" applyFill="1" applyBorder="1" applyAlignment="1"/>
    <xf numFmtId="4" fontId="8" fillId="0" borderId="4" xfId="0" applyNumberFormat="1" applyFont="1" applyFill="1" applyBorder="1">
      <alignment vertical="top"/>
    </xf>
    <xf numFmtId="4" fontId="8" fillId="0" borderId="5" xfId="0" applyNumberFormat="1" applyFont="1" applyFill="1" applyBorder="1">
      <alignment vertical="top"/>
    </xf>
    <xf numFmtId="0" fontId="0" fillId="0" borderId="5" xfId="0" applyFill="1" applyBorder="1" applyAlignment="1">
      <alignment horizontal="center"/>
    </xf>
    <xf numFmtId="4" fontId="8" fillId="0" borderId="5" xfId="0" applyNumberFormat="1" applyFont="1" applyFill="1" applyBorder="1" applyAlignment="1">
      <alignment horizontal="center" vertical="top"/>
    </xf>
    <xf numFmtId="10" fontId="8" fillId="0" borderId="5" xfId="0" applyNumberFormat="1" applyFont="1" applyFill="1" applyBorder="1">
      <alignment vertical="top"/>
    </xf>
    <xf numFmtId="0" fontId="3" fillId="0" borderId="5" xfId="0" applyFont="1" applyFill="1" applyBorder="1" applyAlignment="1">
      <alignment vertical="center" wrapText="1"/>
    </xf>
    <xf numFmtId="201" fontId="0" fillId="0" borderId="5" xfId="0" applyNumberFormat="1" applyFill="1" applyBorder="1" applyAlignment="1">
      <alignment horizontal="center"/>
    </xf>
    <xf numFmtId="4" fontId="8" fillId="0" borderId="6" xfId="0" applyNumberFormat="1" applyFont="1" applyFill="1" applyBorder="1">
      <alignment vertical="top"/>
    </xf>
    <xf numFmtId="4" fontId="8" fillId="0" borderId="7" xfId="0" applyNumberFormat="1" applyFont="1" applyFill="1" applyBorder="1">
      <alignment vertical="top"/>
    </xf>
    <xf numFmtId="0" fontId="8" fillId="0" borderId="0" xfId="0" applyFont="1" applyFill="1" applyAlignment="1">
      <alignment horizontal="right"/>
    </xf>
    <xf numFmtId="0" fontId="5" fillId="0" borderId="8" xfId="0" applyFont="1" applyFill="1" applyBorder="1" applyAlignment="1">
      <alignment horizontal="center" vertical="center" wrapText="1"/>
    </xf>
    <xf numFmtId="10" fontId="0" fillId="0" borderId="0" xfId="2" applyNumberFormat="1" applyFont="1"/>
    <xf numFmtId="9" fontId="0" fillId="0" borderId="0" xfId="2" applyFont="1"/>
    <xf numFmtId="0" fontId="7" fillId="0" borderId="0" xfId="0" applyFont="1" applyAlignment="1">
      <alignment wrapText="1"/>
    </xf>
    <xf numFmtId="0" fontId="0" fillId="0" borderId="9" xfId="0" applyFill="1" applyBorder="1" applyAlignment="1">
      <alignment horizontal="center"/>
    </xf>
    <xf numFmtId="2" fontId="0" fillId="0" borderId="10" xfId="0" applyNumberForma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2" fontId="0" fillId="0" borderId="4" xfId="0" applyNumberForma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 applyFill="1" applyAlignment="1"/>
    <xf numFmtId="0" fontId="0" fillId="0" borderId="0" xfId="0" applyFill="1" applyAlignment="1"/>
    <xf numFmtId="201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4" fontId="8" fillId="0" borderId="2" xfId="0" applyNumberFormat="1" applyFont="1" applyFill="1" applyBorder="1" applyAlignment="1">
      <alignment horizontal="center" vertical="top"/>
    </xf>
    <xf numFmtId="10" fontId="8" fillId="0" borderId="2" xfId="0" applyNumberFormat="1" applyFont="1" applyFill="1" applyBorder="1">
      <alignment vertical="top"/>
    </xf>
    <xf numFmtId="201" fontId="0" fillId="0" borderId="6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4" fontId="8" fillId="0" borderId="6" xfId="0" applyNumberFormat="1" applyFont="1" applyFill="1" applyBorder="1" applyAlignment="1">
      <alignment horizontal="center" vertical="top"/>
    </xf>
    <xf numFmtId="10" fontId="8" fillId="0" borderId="6" xfId="0" applyNumberFormat="1" applyFont="1" applyFill="1" applyBorder="1">
      <alignment vertical="top"/>
    </xf>
    <xf numFmtId="201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 vertical="top"/>
    </xf>
    <xf numFmtId="10" fontId="8" fillId="0" borderId="4" xfId="0" applyNumberFormat="1" applyFont="1" applyFill="1" applyBorder="1">
      <alignment vertical="top"/>
    </xf>
    <xf numFmtId="4" fontId="8" fillId="0" borderId="11" xfId="0" applyNumberFormat="1" applyFont="1" applyFill="1" applyBorder="1">
      <alignment vertical="top"/>
    </xf>
    <xf numFmtId="20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 vertical="top"/>
    </xf>
    <xf numFmtId="10" fontId="8" fillId="0" borderId="1" xfId="0" applyNumberFormat="1" applyFont="1" applyFill="1" applyBorder="1">
      <alignment vertical="top"/>
    </xf>
    <xf numFmtId="0" fontId="0" fillId="0" borderId="8" xfId="0" applyFill="1" applyBorder="1" applyAlignment="1"/>
    <xf numFmtId="0" fontId="0" fillId="0" borderId="12" xfId="0" applyFill="1" applyBorder="1" applyAlignment="1"/>
    <xf numFmtId="0" fontId="0" fillId="0" borderId="13" xfId="0" applyFill="1" applyBorder="1" applyAlignment="1"/>
    <xf numFmtId="0" fontId="3" fillId="0" borderId="13" xfId="0" applyFont="1" applyFill="1" applyBorder="1" applyAlignment="1"/>
    <xf numFmtId="0" fontId="0" fillId="0" borderId="14" xfId="0" applyFill="1" applyBorder="1" applyAlignment="1"/>
    <xf numFmtId="2" fontId="0" fillId="0" borderId="2" xfId="0" applyNumberForma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Fill="1" applyAlignment="1">
      <alignment horizontal="left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1"/>
  <sheetViews>
    <sheetView tabSelected="1" zoomScaleNormal="100" zoomScaleSheetLayoutView="100" workbookViewId="0">
      <pane ySplit="4" topLeftCell="A85" activePane="bottomLeft" state="frozen"/>
      <selection activeCell="D1" sqref="D1"/>
      <selection pane="bottomLeft" activeCell="G93" sqref="G93"/>
    </sheetView>
  </sheetViews>
  <sheetFormatPr defaultRowHeight="12.75" x14ac:dyDescent="0.2"/>
  <cols>
    <col min="2" max="2" width="7.7109375" customWidth="1"/>
    <col min="3" max="3" width="14.140625" customWidth="1"/>
    <col min="4" max="4" width="12.42578125" customWidth="1"/>
    <col min="5" max="5" width="26.140625" customWidth="1"/>
    <col min="6" max="6" width="12" customWidth="1"/>
    <col min="7" max="7" width="11.85546875" customWidth="1"/>
    <col min="8" max="8" width="11.140625" customWidth="1"/>
    <col min="9" max="9" width="11.7109375" customWidth="1"/>
    <col min="10" max="10" width="20.28515625" customWidth="1"/>
    <col min="11" max="11" width="9.85546875" customWidth="1"/>
    <col min="12" max="12" width="17.5703125" customWidth="1"/>
    <col min="13" max="13" width="19.140625" customWidth="1"/>
    <col min="14" max="14" width="20.140625" bestFit="1" customWidth="1"/>
    <col min="15" max="15" width="10.85546875" customWidth="1"/>
    <col min="16" max="16" width="12.7109375" customWidth="1"/>
    <col min="17" max="17" width="13.7109375" customWidth="1"/>
    <col min="18" max="18" width="19.28515625" customWidth="1"/>
    <col min="19" max="19" width="20.140625" customWidth="1"/>
    <col min="20" max="20" width="22.7109375" customWidth="1"/>
    <col min="21" max="21" width="21.85546875" customWidth="1"/>
  </cols>
  <sheetData>
    <row r="1" spans="1:24" ht="33" customHeight="1" x14ac:dyDescent="0.25">
      <c r="A1" s="93" t="s">
        <v>22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53"/>
    </row>
    <row r="2" spans="1:24" ht="11.25" customHeight="1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31" t="s">
        <v>3</v>
      </c>
      <c r="T2" s="53"/>
    </row>
    <row r="3" spans="1:24" ht="39.75" customHeight="1" x14ac:dyDescent="0.2">
      <c r="A3" s="82" t="s">
        <v>4</v>
      </c>
      <c r="B3" s="82" t="s">
        <v>5</v>
      </c>
      <c r="C3" s="82" t="s">
        <v>6</v>
      </c>
      <c r="D3" s="82" t="s">
        <v>24</v>
      </c>
      <c r="E3" s="82" t="s">
        <v>7</v>
      </c>
      <c r="F3" s="82" t="s">
        <v>8</v>
      </c>
      <c r="G3" s="82" t="s">
        <v>9</v>
      </c>
      <c r="H3" s="82" t="s">
        <v>10</v>
      </c>
      <c r="I3" s="82" t="s">
        <v>11</v>
      </c>
      <c r="J3" s="82" t="s">
        <v>12</v>
      </c>
      <c r="K3" s="82" t="s">
        <v>13</v>
      </c>
      <c r="L3" s="82" t="s">
        <v>14</v>
      </c>
      <c r="M3" s="91" t="s">
        <v>15</v>
      </c>
      <c r="N3" s="92"/>
      <c r="O3" s="82" t="s">
        <v>16</v>
      </c>
      <c r="P3" s="82" t="s">
        <v>17</v>
      </c>
      <c r="Q3" s="82" t="s">
        <v>18</v>
      </c>
      <c r="R3" s="91" t="s">
        <v>19</v>
      </c>
      <c r="S3" s="92"/>
      <c r="T3" s="53"/>
    </row>
    <row r="4" spans="1:24" ht="50.25" customHeight="1" x14ac:dyDescent="0.2">
      <c r="A4" s="83"/>
      <c r="B4" s="83"/>
      <c r="C4" s="83"/>
      <c r="D4" s="87"/>
      <c r="E4" s="83"/>
      <c r="F4" s="83"/>
      <c r="G4" s="83"/>
      <c r="H4" s="83"/>
      <c r="I4" s="83"/>
      <c r="J4" s="83"/>
      <c r="K4" s="83"/>
      <c r="L4" s="83"/>
      <c r="M4" s="32" t="s">
        <v>20</v>
      </c>
      <c r="N4" s="32" t="s">
        <v>21</v>
      </c>
      <c r="O4" s="83"/>
      <c r="P4" s="83"/>
      <c r="Q4" s="83"/>
      <c r="R4" s="32" t="s">
        <v>20</v>
      </c>
      <c r="S4" s="32" t="s">
        <v>21</v>
      </c>
      <c r="T4" s="53"/>
    </row>
    <row r="5" spans="1:24" ht="26.25" customHeight="1" x14ac:dyDescent="0.2">
      <c r="A5" s="84">
        <v>2007</v>
      </c>
      <c r="B5" s="46">
        <v>1</v>
      </c>
      <c r="C5" s="37" t="s">
        <v>25</v>
      </c>
      <c r="D5" s="38" t="s">
        <v>26</v>
      </c>
      <c r="E5" s="39" t="s">
        <v>27</v>
      </c>
      <c r="F5" s="54">
        <v>39085</v>
      </c>
      <c r="G5" s="54">
        <f t="shared" ref="G5:G11" si="0">+F5+H5</f>
        <v>39099</v>
      </c>
      <c r="H5" s="55">
        <v>14</v>
      </c>
      <c r="I5" s="55" t="s">
        <v>0</v>
      </c>
      <c r="J5" s="56" t="s">
        <v>2</v>
      </c>
      <c r="K5" s="57">
        <v>0</v>
      </c>
      <c r="L5" s="56" t="s">
        <v>2</v>
      </c>
      <c r="M5" s="16">
        <v>30915000000</v>
      </c>
      <c r="N5" s="16">
        <v>31083313626</v>
      </c>
      <c r="O5" s="57">
        <v>1</v>
      </c>
      <c r="P5" s="57">
        <v>0.14000000000000001</v>
      </c>
      <c r="Q5" s="57">
        <v>0.14000000000000001</v>
      </c>
      <c r="R5" s="16">
        <v>146996735310</v>
      </c>
      <c r="S5" s="16">
        <v>148520281751</v>
      </c>
      <c r="T5" s="17">
        <f t="shared" ref="T5:T32" si="1">Q5*M5</f>
        <v>4328100000</v>
      </c>
      <c r="U5" s="1"/>
    </row>
    <row r="6" spans="1:24" ht="26.25" customHeight="1" x14ac:dyDescent="0.2">
      <c r="A6" s="85"/>
      <c r="B6" s="46">
        <v>2</v>
      </c>
      <c r="C6" s="40" t="s">
        <v>25</v>
      </c>
      <c r="D6" s="41" t="s">
        <v>26</v>
      </c>
      <c r="E6" s="42" t="s">
        <v>27</v>
      </c>
      <c r="F6" s="54">
        <v>39087</v>
      </c>
      <c r="G6" s="54">
        <f t="shared" si="0"/>
        <v>39101</v>
      </c>
      <c r="H6" s="55">
        <v>14</v>
      </c>
      <c r="I6" s="55" t="s">
        <v>0</v>
      </c>
      <c r="J6" s="56" t="s">
        <v>2</v>
      </c>
      <c r="K6" s="57">
        <v>0</v>
      </c>
      <c r="L6" s="56" t="s">
        <v>2</v>
      </c>
      <c r="M6" s="16">
        <v>42210000000</v>
      </c>
      <c r="N6" s="16">
        <v>42439808124</v>
      </c>
      <c r="O6" s="57">
        <v>1</v>
      </c>
      <c r="P6" s="57">
        <v>0.14000000000000001</v>
      </c>
      <c r="Q6" s="57">
        <v>0.14000000000000001</v>
      </c>
      <c r="R6" s="16">
        <f>146996735310-36070000000+42210000000</f>
        <v>153136735310</v>
      </c>
      <c r="S6" s="16">
        <f>148520281751-36287422746+42439808124</f>
        <v>154672667129</v>
      </c>
      <c r="T6" s="17">
        <f t="shared" si="1"/>
        <v>5909400000.000001</v>
      </c>
      <c r="U6" s="1"/>
    </row>
    <row r="7" spans="1:24" ht="26.25" customHeight="1" x14ac:dyDescent="0.2">
      <c r="A7" s="85"/>
      <c r="B7" s="46">
        <v>3</v>
      </c>
      <c r="C7" s="40" t="s">
        <v>25</v>
      </c>
      <c r="D7" s="41" t="s">
        <v>26</v>
      </c>
      <c r="E7" s="42" t="s">
        <v>27</v>
      </c>
      <c r="F7" s="54">
        <v>39092</v>
      </c>
      <c r="G7" s="54">
        <f t="shared" si="0"/>
        <v>39106</v>
      </c>
      <c r="H7" s="55">
        <v>14</v>
      </c>
      <c r="I7" s="55" t="s">
        <v>0</v>
      </c>
      <c r="J7" s="56" t="s">
        <v>2</v>
      </c>
      <c r="K7" s="57">
        <v>0</v>
      </c>
      <c r="L7" s="56" t="s">
        <v>2</v>
      </c>
      <c r="M7" s="16">
        <v>33870000000</v>
      </c>
      <c r="N7" s="16">
        <v>34054401828</v>
      </c>
      <c r="O7" s="57">
        <v>1</v>
      </c>
      <c r="P7" s="57">
        <v>0.14000000000000001</v>
      </c>
      <c r="Q7" s="57">
        <v>0.14000000000000001</v>
      </c>
      <c r="R7" s="16">
        <f>R6-2500000000-32545000000+M7</f>
        <v>151961735310</v>
      </c>
      <c r="S7" s="16">
        <f>S6-2576562500-32722187998+N7</f>
        <v>153428318459</v>
      </c>
      <c r="T7" s="17">
        <f t="shared" si="1"/>
        <v>4741800000</v>
      </c>
      <c r="U7" s="1"/>
    </row>
    <row r="8" spans="1:24" ht="26.25" customHeight="1" x14ac:dyDescent="0.2">
      <c r="A8" s="85"/>
      <c r="B8" s="46">
        <v>4</v>
      </c>
      <c r="C8" s="40" t="s">
        <v>25</v>
      </c>
      <c r="D8" s="41" t="s">
        <v>26</v>
      </c>
      <c r="E8" s="42" t="s">
        <v>27</v>
      </c>
      <c r="F8" s="54">
        <v>39094</v>
      </c>
      <c r="G8" s="54">
        <f t="shared" si="0"/>
        <v>39108</v>
      </c>
      <c r="H8" s="55">
        <v>14</v>
      </c>
      <c r="I8" s="55" t="s">
        <v>0</v>
      </c>
      <c r="J8" s="56" t="s">
        <v>2</v>
      </c>
      <c r="K8" s="57">
        <v>0</v>
      </c>
      <c r="L8" s="56" t="s">
        <v>2</v>
      </c>
      <c r="M8" s="16">
        <v>25265000000</v>
      </c>
      <c r="N8" s="16">
        <v>25402552766</v>
      </c>
      <c r="O8" s="57">
        <v>1</v>
      </c>
      <c r="P8" s="57">
        <v>0.14000000000000001</v>
      </c>
      <c r="Q8" s="57">
        <v>0.14000000000000001</v>
      </c>
      <c r="R8" s="16">
        <f>R7-30490000000+M8</f>
        <v>146736735310</v>
      </c>
      <c r="S8" s="16">
        <f>S7-30655999756+N8</f>
        <v>148174871469</v>
      </c>
      <c r="T8" s="17">
        <f t="shared" si="1"/>
        <v>3537100000.0000005</v>
      </c>
      <c r="U8" s="18"/>
      <c r="V8" s="19"/>
      <c r="W8" s="19"/>
      <c r="X8" s="19"/>
    </row>
    <row r="9" spans="1:24" ht="26.25" customHeight="1" x14ac:dyDescent="0.2">
      <c r="A9" s="85"/>
      <c r="B9" s="46">
        <v>5</v>
      </c>
      <c r="C9" s="40" t="s">
        <v>29</v>
      </c>
      <c r="D9" s="41" t="s">
        <v>28</v>
      </c>
      <c r="E9" s="42" t="s">
        <v>30</v>
      </c>
      <c r="F9" s="54">
        <v>39097</v>
      </c>
      <c r="G9" s="54">
        <f t="shared" si="0"/>
        <v>39279</v>
      </c>
      <c r="H9" s="55">
        <v>182</v>
      </c>
      <c r="I9" s="55" t="s">
        <v>0</v>
      </c>
      <c r="J9" s="56">
        <v>5000000000</v>
      </c>
      <c r="K9" s="57">
        <v>0</v>
      </c>
      <c r="L9" s="56">
        <v>5000000000</v>
      </c>
      <c r="M9" s="16">
        <v>4524784248.5</v>
      </c>
      <c r="N9" s="16">
        <v>4835000000</v>
      </c>
      <c r="O9" s="57">
        <v>0.96699999999999997</v>
      </c>
      <c r="P9" s="57">
        <v>0.1414</v>
      </c>
      <c r="Q9" s="57">
        <v>0.1356</v>
      </c>
      <c r="R9" s="16">
        <f>146736735310+4524784248.5</f>
        <v>151261519558.5</v>
      </c>
      <c r="S9" s="16">
        <f>148174871469+4835000000</f>
        <v>153009871469</v>
      </c>
      <c r="T9" s="17">
        <f t="shared" si="1"/>
        <v>613560744.09659994</v>
      </c>
      <c r="U9" s="18"/>
      <c r="V9" s="19"/>
      <c r="W9" s="19"/>
      <c r="X9" s="19"/>
    </row>
    <row r="10" spans="1:24" ht="26.25" customHeight="1" x14ac:dyDescent="0.2">
      <c r="A10" s="85"/>
      <c r="B10" s="46">
        <v>6</v>
      </c>
      <c r="C10" s="40" t="s">
        <v>25</v>
      </c>
      <c r="D10" s="41" t="s">
        <v>26</v>
      </c>
      <c r="E10" s="42" t="s">
        <v>27</v>
      </c>
      <c r="F10" s="54">
        <v>39099</v>
      </c>
      <c r="G10" s="54">
        <f t="shared" si="0"/>
        <v>39113</v>
      </c>
      <c r="H10" s="55">
        <v>14</v>
      </c>
      <c r="I10" s="55" t="s">
        <v>0</v>
      </c>
      <c r="J10" s="56" t="s">
        <v>2</v>
      </c>
      <c r="K10" s="57">
        <v>0</v>
      </c>
      <c r="L10" s="56" t="s">
        <v>2</v>
      </c>
      <c r="M10" s="16">
        <v>21796000000</v>
      </c>
      <c r="N10" s="16">
        <v>21914666142.400002</v>
      </c>
      <c r="O10" s="57">
        <v>1</v>
      </c>
      <c r="P10" s="57">
        <v>0.14000000000000001</v>
      </c>
      <c r="Q10" s="57">
        <v>0.14000000000000001</v>
      </c>
      <c r="R10" s="16">
        <f>151261519558.5-M5+21796000000</f>
        <v>142142519558.5</v>
      </c>
      <c r="S10" s="16">
        <f>153009871469-N5+21914666142.4</f>
        <v>143841223985.39999</v>
      </c>
      <c r="T10" s="17">
        <f t="shared" si="1"/>
        <v>3051440000.0000005</v>
      </c>
      <c r="U10" s="18"/>
      <c r="V10" s="19"/>
      <c r="W10" s="19"/>
      <c r="X10" s="19"/>
    </row>
    <row r="11" spans="1:24" ht="26.25" customHeight="1" x14ac:dyDescent="0.2">
      <c r="A11" s="85"/>
      <c r="B11" s="46">
        <v>7</v>
      </c>
      <c r="C11" s="40" t="s">
        <v>25</v>
      </c>
      <c r="D11" s="41" t="s">
        <v>26</v>
      </c>
      <c r="E11" s="42" t="s">
        <v>27</v>
      </c>
      <c r="F11" s="54">
        <v>39101</v>
      </c>
      <c r="G11" s="54">
        <f t="shared" si="0"/>
        <v>39115</v>
      </c>
      <c r="H11" s="55">
        <v>14</v>
      </c>
      <c r="I11" s="55" t="s">
        <v>0</v>
      </c>
      <c r="J11" s="56" t="s">
        <v>2</v>
      </c>
      <c r="K11" s="57">
        <v>0</v>
      </c>
      <c r="L11" s="56" t="s">
        <v>2</v>
      </c>
      <c r="M11" s="16">
        <v>36425000000</v>
      </c>
      <c r="N11" s="16">
        <v>36623312270</v>
      </c>
      <c r="O11" s="57">
        <v>1</v>
      </c>
      <c r="P11" s="57">
        <v>0.14000000000000001</v>
      </c>
      <c r="Q11" s="57">
        <v>0.14000000000000001</v>
      </c>
      <c r="R11" s="16">
        <f>R10-42210000000+M11</f>
        <v>136357519558.5</v>
      </c>
      <c r="S11" s="16">
        <f>S10-42439808124+N11</f>
        <v>138024728131.39999</v>
      </c>
      <c r="T11" s="17">
        <f t="shared" si="1"/>
        <v>5099500000.000001</v>
      </c>
      <c r="U11" s="18"/>
      <c r="V11" s="19"/>
      <c r="W11" s="19"/>
      <c r="X11" s="19"/>
    </row>
    <row r="12" spans="1:24" ht="26.25" customHeight="1" x14ac:dyDescent="0.2">
      <c r="A12" s="85"/>
      <c r="B12" s="46">
        <v>8</v>
      </c>
      <c r="C12" s="40" t="s">
        <v>25</v>
      </c>
      <c r="D12" s="41" t="s">
        <v>26</v>
      </c>
      <c r="E12" s="42" t="s">
        <v>27</v>
      </c>
      <c r="F12" s="54">
        <v>39106</v>
      </c>
      <c r="G12" s="54">
        <f t="shared" ref="G12:G17" si="2">+F12+H12</f>
        <v>39120</v>
      </c>
      <c r="H12" s="55">
        <v>14</v>
      </c>
      <c r="I12" s="55" t="s">
        <v>0</v>
      </c>
      <c r="J12" s="56" t="s">
        <v>2</v>
      </c>
      <c r="K12" s="57">
        <v>0</v>
      </c>
      <c r="L12" s="56" t="s">
        <v>2</v>
      </c>
      <c r="M12" s="16">
        <v>43145000000</v>
      </c>
      <c r="N12" s="16">
        <v>43379898638</v>
      </c>
      <c r="O12" s="57">
        <v>1</v>
      </c>
      <c r="P12" s="57">
        <v>0.14000000000000001</v>
      </c>
      <c r="Q12" s="57">
        <v>0.14000000000000001</v>
      </c>
      <c r="R12" s="16">
        <f>R11-2500000000-33870000000+M12</f>
        <v>143132519558.5</v>
      </c>
      <c r="S12" s="16">
        <f>S11-2569730850-34054401828+N12</f>
        <v>144780494091.39999</v>
      </c>
      <c r="T12" s="17">
        <f t="shared" si="1"/>
        <v>6040300000.000001</v>
      </c>
      <c r="U12" s="18"/>
      <c r="V12" s="19"/>
      <c r="W12" s="19"/>
      <c r="X12" s="19"/>
    </row>
    <row r="13" spans="1:24" ht="26.25" customHeight="1" x14ac:dyDescent="0.2">
      <c r="A13" s="85"/>
      <c r="B13" s="46">
        <v>9</v>
      </c>
      <c r="C13" s="40" t="s">
        <v>25</v>
      </c>
      <c r="D13" s="41" t="s">
        <v>26</v>
      </c>
      <c r="E13" s="42" t="s">
        <v>27</v>
      </c>
      <c r="F13" s="54">
        <v>39108</v>
      </c>
      <c r="G13" s="54">
        <f t="shared" si="2"/>
        <v>39122</v>
      </c>
      <c r="H13" s="55">
        <v>14</v>
      </c>
      <c r="I13" s="55" t="s">
        <v>0</v>
      </c>
      <c r="J13" s="56" t="s">
        <v>2</v>
      </c>
      <c r="K13" s="57">
        <v>0</v>
      </c>
      <c r="L13" s="56" t="s">
        <v>2</v>
      </c>
      <c r="M13" s="16">
        <v>34975000000</v>
      </c>
      <c r="N13" s="16">
        <v>35165417890</v>
      </c>
      <c r="O13" s="57">
        <v>1</v>
      </c>
      <c r="P13" s="57">
        <v>0.14000000000000001</v>
      </c>
      <c r="Q13" s="57">
        <v>0.14000000000000001</v>
      </c>
      <c r="R13" s="16">
        <f>R12-25265000000+M13</f>
        <v>152842519558.5</v>
      </c>
      <c r="S13" s="16">
        <f>S12-25402552766+N13</f>
        <v>154543359215.39999</v>
      </c>
      <c r="T13" s="17">
        <f t="shared" si="1"/>
        <v>4896500000</v>
      </c>
      <c r="U13" s="18"/>
      <c r="V13" s="19"/>
      <c r="W13" s="19"/>
      <c r="X13" s="19"/>
    </row>
    <row r="14" spans="1:24" ht="26.25" customHeight="1" x14ac:dyDescent="0.2">
      <c r="A14" s="85"/>
      <c r="B14" s="46">
        <v>10</v>
      </c>
      <c r="C14" s="40" t="s">
        <v>29</v>
      </c>
      <c r="D14" s="41" t="s">
        <v>28</v>
      </c>
      <c r="E14" s="42" t="s">
        <v>30</v>
      </c>
      <c r="F14" s="54">
        <v>39111</v>
      </c>
      <c r="G14" s="54">
        <f t="shared" si="2"/>
        <v>39293</v>
      </c>
      <c r="H14" s="55">
        <v>182</v>
      </c>
      <c r="I14" s="55" t="s">
        <v>0</v>
      </c>
      <c r="J14" s="56">
        <v>5000000000</v>
      </c>
      <c r="K14" s="57">
        <v>0</v>
      </c>
      <c r="L14" s="56">
        <v>5000000000</v>
      </c>
      <c r="M14" s="16">
        <v>4674646701.8000002</v>
      </c>
      <c r="N14" s="16">
        <v>5000000000</v>
      </c>
      <c r="O14" s="57">
        <v>1</v>
      </c>
      <c r="P14" s="57">
        <v>0.13900000000000001</v>
      </c>
      <c r="Q14" s="57">
        <v>0.13769999999999999</v>
      </c>
      <c r="R14" s="16">
        <f>152842519558.5+4674646701.8</f>
        <v>157517166260.29999</v>
      </c>
      <c r="S14" s="16">
        <f>154543359215.4+5000000000</f>
        <v>159543359215.39999</v>
      </c>
      <c r="T14" s="17">
        <f t="shared" si="1"/>
        <v>643698850.83785999</v>
      </c>
      <c r="U14" s="18"/>
      <c r="V14" s="19"/>
      <c r="W14" s="19"/>
      <c r="X14" s="19"/>
    </row>
    <row r="15" spans="1:24" ht="26.25" customHeight="1" x14ac:dyDescent="0.2">
      <c r="A15" s="85"/>
      <c r="B15" s="46">
        <v>11</v>
      </c>
      <c r="C15" s="40" t="s">
        <v>25</v>
      </c>
      <c r="D15" s="41" t="s">
        <v>26</v>
      </c>
      <c r="E15" s="42" t="s">
        <v>27</v>
      </c>
      <c r="F15" s="54">
        <v>39113</v>
      </c>
      <c r="G15" s="54">
        <f t="shared" si="2"/>
        <v>39127</v>
      </c>
      <c r="H15" s="55">
        <v>14</v>
      </c>
      <c r="I15" s="55" t="s">
        <v>0</v>
      </c>
      <c r="J15" s="56" t="s">
        <v>2</v>
      </c>
      <c r="K15" s="57">
        <v>0</v>
      </c>
      <c r="L15" s="56" t="s">
        <v>2</v>
      </c>
      <c r="M15" s="16">
        <v>20455000000</v>
      </c>
      <c r="N15" s="16">
        <v>20558412298</v>
      </c>
      <c r="O15" s="57">
        <v>1</v>
      </c>
      <c r="P15" s="57">
        <v>0.13</v>
      </c>
      <c r="Q15" s="57">
        <v>0.13</v>
      </c>
      <c r="R15" s="16">
        <f>157517166260.3-M10+20455000000</f>
        <v>156176166260.29999</v>
      </c>
      <c r="S15" s="16">
        <f>159543359215.4-N10+20558412298</f>
        <v>158187105371</v>
      </c>
      <c r="T15" s="17">
        <f t="shared" si="1"/>
        <v>2659150000</v>
      </c>
      <c r="U15" s="18"/>
      <c r="V15" s="19"/>
      <c r="W15" s="19"/>
      <c r="X15" s="19"/>
    </row>
    <row r="16" spans="1:24" ht="26.25" customHeight="1" x14ac:dyDescent="0.2">
      <c r="A16" s="85"/>
      <c r="B16" s="46">
        <v>12</v>
      </c>
      <c r="C16" s="40" t="s">
        <v>25</v>
      </c>
      <c r="D16" s="41" t="s">
        <v>26</v>
      </c>
      <c r="E16" s="42" t="s">
        <v>27</v>
      </c>
      <c r="F16" s="54">
        <v>39115</v>
      </c>
      <c r="G16" s="54">
        <f t="shared" si="2"/>
        <v>39129</v>
      </c>
      <c r="H16" s="55">
        <v>14</v>
      </c>
      <c r="I16" s="55" t="s">
        <v>0</v>
      </c>
      <c r="J16" s="56" t="s">
        <v>2</v>
      </c>
      <c r="K16" s="57">
        <v>0</v>
      </c>
      <c r="L16" s="56" t="s">
        <v>2</v>
      </c>
      <c r="M16" s="16">
        <v>35802000000</v>
      </c>
      <c r="N16" s="16">
        <v>35983000591.199997</v>
      </c>
      <c r="O16" s="57">
        <v>1</v>
      </c>
      <c r="P16" s="57">
        <v>0.13</v>
      </c>
      <c r="Q16" s="57">
        <v>0.13</v>
      </c>
      <c r="R16" s="16">
        <f>156176166260.3-M11+35802000000</f>
        <v>155553166260.29999</v>
      </c>
      <c r="S16" s="16">
        <f>158187105371-N11+35983000591.2</f>
        <v>157546793692.20001</v>
      </c>
      <c r="T16" s="17">
        <f t="shared" si="1"/>
        <v>4654260000</v>
      </c>
      <c r="U16" s="18"/>
      <c r="V16" s="19"/>
      <c r="W16" s="19"/>
      <c r="X16" s="19"/>
    </row>
    <row r="17" spans="1:24" ht="26.25" customHeight="1" x14ac:dyDescent="0.2">
      <c r="A17" s="85"/>
      <c r="B17" s="46">
        <v>13</v>
      </c>
      <c r="C17" s="40" t="s">
        <v>25</v>
      </c>
      <c r="D17" s="41" t="s">
        <v>26</v>
      </c>
      <c r="E17" s="42" t="s">
        <v>27</v>
      </c>
      <c r="F17" s="54">
        <v>39120</v>
      </c>
      <c r="G17" s="54">
        <f t="shared" si="2"/>
        <v>39134</v>
      </c>
      <c r="H17" s="55">
        <v>14</v>
      </c>
      <c r="I17" s="55" t="s">
        <v>0</v>
      </c>
      <c r="J17" s="56" t="s">
        <v>2</v>
      </c>
      <c r="K17" s="57">
        <v>0</v>
      </c>
      <c r="L17" s="56" t="s">
        <v>2</v>
      </c>
      <c r="M17" s="16">
        <v>41406000000</v>
      </c>
      <c r="N17" s="16">
        <v>41615332173.599998</v>
      </c>
      <c r="O17" s="57">
        <v>1</v>
      </c>
      <c r="P17" s="57">
        <v>0.13</v>
      </c>
      <c r="Q17" s="57">
        <v>0.13</v>
      </c>
      <c r="R17" s="16">
        <f>R16-43145000000+M17</f>
        <v>153814166260.29999</v>
      </c>
      <c r="S17" s="16">
        <f>S16-43379898638+N17</f>
        <v>155782227227.80002</v>
      </c>
      <c r="T17" s="17">
        <f t="shared" si="1"/>
        <v>5382780000</v>
      </c>
      <c r="U17" s="18"/>
      <c r="V17" s="19"/>
      <c r="W17" s="19"/>
      <c r="X17" s="19"/>
    </row>
    <row r="18" spans="1:24" ht="26.25" customHeight="1" x14ac:dyDescent="0.2">
      <c r="A18" s="85"/>
      <c r="B18" s="46">
        <v>14</v>
      </c>
      <c r="C18" s="40" t="s">
        <v>25</v>
      </c>
      <c r="D18" s="41" t="s">
        <v>26</v>
      </c>
      <c r="E18" s="42" t="s">
        <v>27</v>
      </c>
      <c r="F18" s="54">
        <v>39122</v>
      </c>
      <c r="G18" s="54">
        <f t="shared" ref="G18:G23" si="3">+F18+H18</f>
        <v>39136</v>
      </c>
      <c r="H18" s="55">
        <v>14</v>
      </c>
      <c r="I18" s="55" t="s">
        <v>0</v>
      </c>
      <c r="J18" s="56" t="s">
        <v>2</v>
      </c>
      <c r="K18" s="57">
        <v>0</v>
      </c>
      <c r="L18" s="56" t="s">
        <v>2</v>
      </c>
      <c r="M18" s="16">
        <v>33084000000</v>
      </c>
      <c r="N18" s="16">
        <v>33251259470.400002</v>
      </c>
      <c r="O18" s="57">
        <v>1</v>
      </c>
      <c r="P18" s="57">
        <v>0.13</v>
      </c>
      <c r="Q18" s="57">
        <v>0.13</v>
      </c>
      <c r="R18" s="16">
        <f>R17-34975000000+M18</f>
        <v>151923166260.29999</v>
      </c>
      <c r="S18" s="16">
        <f>S17-35165417890+N18</f>
        <v>153868068808.20001</v>
      </c>
      <c r="T18" s="17">
        <f t="shared" si="1"/>
        <v>4300920000</v>
      </c>
      <c r="U18" s="18"/>
      <c r="V18" s="19"/>
      <c r="W18" s="19"/>
      <c r="X18" s="19"/>
    </row>
    <row r="19" spans="1:24" ht="26.25" customHeight="1" x14ac:dyDescent="0.2">
      <c r="A19" s="85"/>
      <c r="B19" s="46">
        <v>15</v>
      </c>
      <c r="C19" s="40" t="s">
        <v>29</v>
      </c>
      <c r="D19" s="41" t="s">
        <v>28</v>
      </c>
      <c r="E19" s="42" t="s">
        <v>30</v>
      </c>
      <c r="F19" s="54">
        <v>39125</v>
      </c>
      <c r="G19" s="54">
        <f t="shared" si="3"/>
        <v>39307</v>
      </c>
      <c r="H19" s="55">
        <v>182</v>
      </c>
      <c r="I19" s="55" t="s">
        <v>0</v>
      </c>
      <c r="J19" s="56">
        <v>5000000000</v>
      </c>
      <c r="K19" s="57">
        <v>0</v>
      </c>
      <c r="L19" s="56">
        <v>5000000000</v>
      </c>
      <c r="M19" s="16">
        <v>4693208287</v>
      </c>
      <c r="N19" s="16">
        <v>5000000000</v>
      </c>
      <c r="O19" s="57">
        <v>1</v>
      </c>
      <c r="P19" s="57">
        <v>0.13100000000000001</v>
      </c>
      <c r="Q19" s="57">
        <v>0.1293</v>
      </c>
      <c r="R19" s="16">
        <f>151923166260.3-2500000000+4693208287</f>
        <v>154116374547.29999</v>
      </c>
      <c r="S19" s="16">
        <f>153868068808.2-2563482650+5000000000</f>
        <v>156304586158.20001</v>
      </c>
      <c r="T19" s="17">
        <f t="shared" si="1"/>
        <v>606831831.50909996</v>
      </c>
      <c r="U19" s="18"/>
      <c r="V19" s="19"/>
      <c r="W19" s="19"/>
      <c r="X19" s="19"/>
    </row>
    <row r="20" spans="1:24" ht="26.25" customHeight="1" x14ac:dyDescent="0.2">
      <c r="A20" s="85"/>
      <c r="B20" s="46">
        <v>16</v>
      </c>
      <c r="C20" s="40" t="s">
        <v>25</v>
      </c>
      <c r="D20" s="41" t="s">
        <v>26</v>
      </c>
      <c r="E20" s="42" t="s">
        <v>27</v>
      </c>
      <c r="F20" s="54">
        <v>39127</v>
      </c>
      <c r="G20" s="54">
        <f t="shared" si="3"/>
        <v>39141</v>
      </c>
      <c r="H20" s="55">
        <v>14</v>
      </c>
      <c r="I20" s="55" t="s">
        <v>0</v>
      </c>
      <c r="J20" s="56" t="s">
        <v>2</v>
      </c>
      <c r="K20" s="57">
        <v>0</v>
      </c>
      <c r="L20" s="56" t="s">
        <v>2</v>
      </c>
      <c r="M20" s="16">
        <v>26890000000</v>
      </c>
      <c r="N20" s="16">
        <v>27025945084</v>
      </c>
      <c r="O20" s="57">
        <v>1</v>
      </c>
      <c r="P20" s="57">
        <v>0.13</v>
      </c>
      <c r="Q20" s="57">
        <v>0.13</v>
      </c>
      <c r="R20" s="16">
        <f>154116374547.3-M15+26890000000</f>
        <v>160551374547.29999</v>
      </c>
      <c r="S20" s="16">
        <f>156304586158.2-N15+27025945084</f>
        <v>162772118944.20001</v>
      </c>
      <c r="T20" s="17">
        <f t="shared" si="1"/>
        <v>3495700000</v>
      </c>
      <c r="U20" s="18"/>
      <c r="V20" s="19"/>
      <c r="W20" s="19"/>
      <c r="X20" s="19"/>
    </row>
    <row r="21" spans="1:24" ht="26.25" customHeight="1" x14ac:dyDescent="0.2">
      <c r="A21" s="85"/>
      <c r="B21" s="46">
        <v>17</v>
      </c>
      <c r="C21" s="40" t="s">
        <v>25</v>
      </c>
      <c r="D21" s="41" t="s">
        <v>26</v>
      </c>
      <c r="E21" s="42" t="s">
        <v>27</v>
      </c>
      <c r="F21" s="54">
        <v>39129</v>
      </c>
      <c r="G21" s="54">
        <f t="shared" si="3"/>
        <v>39143</v>
      </c>
      <c r="H21" s="55">
        <v>14</v>
      </c>
      <c r="I21" s="55" t="s">
        <v>0</v>
      </c>
      <c r="J21" s="56" t="s">
        <v>2</v>
      </c>
      <c r="K21" s="57">
        <v>0</v>
      </c>
      <c r="L21" s="56" t="s">
        <v>2</v>
      </c>
      <c r="M21" s="16">
        <v>31415000000</v>
      </c>
      <c r="N21" s="16">
        <v>31573821674</v>
      </c>
      <c r="O21" s="57">
        <v>1</v>
      </c>
      <c r="P21" s="57">
        <v>0.13</v>
      </c>
      <c r="Q21" s="57">
        <v>0.13</v>
      </c>
      <c r="R21" s="16">
        <f>160551374547.3-M16+31415000000</f>
        <v>156164374547.29999</v>
      </c>
      <c r="S21" s="16">
        <f>162772118944.2-N16+31573821674</f>
        <v>158362940027</v>
      </c>
      <c r="T21" s="17">
        <f t="shared" si="1"/>
        <v>4083950000</v>
      </c>
      <c r="U21" s="18"/>
      <c r="V21" s="19"/>
      <c r="W21" s="19"/>
      <c r="X21" s="19"/>
    </row>
    <row r="22" spans="1:24" ht="26.25" customHeight="1" x14ac:dyDescent="0.2">
      <c r="A22" s="85"/>
      <c r="B22" s="46">
        <v>18</v>
      </c>
      <c r="C22" s="40" t="s">
        <v>25</v>
      </c>
      <c r="D22" s="41" t="s">
        <v>26</v>
      </c>
      <c r="E22" s="42" t="s">
        <v>27</v>
      </c>
      <c r="F22" s="54">
        <v>39134</v>
      </c>
      <c r="G22" s="54">
        <f t="shared" si="3"/>
        <v>39148</v>
      </c>
      <c r="H22" s="55">
        <v>14</v>
      </c>
      <c r="I22" s="55" t="s">
        <v>0</v>
      </c>
      <c r="J22" s="56" t="s">
        <v>2</v>
      </c>
      <c r="K22" s="57">
        <v>0</v>
      </c>
      <c r="L22" s="56" t="s">
        <v>2</v>
      </c>
      <c r="M22" s="16">
        <v>36465000000</v>
      </c>
      <c r="N22" s="16">
        <v>36649352454</v>
      </c>
      <c r="O22" s="57">
        <v>1</v>
      </c>
      <c r="P22" s="57">
        <v>0.13</v>
      </c>
      <c r="Q22" s="57">
        <v>0.13</v>
      </c>
      <c r="R22" s="16">
        <f>R21-41406000000+M22</f>
        <v>151223374547.29999</v>
      </c>
      <c r="S22" s="16">
        <f>S21-41615332173.6+N22</f>
        <v>153396960307.39999</v>
      </c>
      <c r="T22" s="17">
        <f t="shared" si="1"/>
        <v>4740450000</v>
      </c>
      <c r="U22" s="18"/>
      <c r="V22" s="19"/>
      <c r="W22" s="19"/>
      <c r="X22" s="19"/>
    </row>
    <row r="23" spans="1:24" ht="26.25" customHeight="1" x14ac:dyDescent="0.2">
      <c r="A23" s="85"/>
      <c r="B23" s="46">
        <v>19</v>
      </c>
      <c r="C23" s="40" t="s">
        <v>25</v>
      </c>
      <c r="D23" s="41" t="s">
        <v>26</v>
      </c>
      <c r="E23" s="42" t="s">
        <v>27</v>
      </c>
      <c r="F23" s="54">
        <v>39136</v>
      </c>
      <c r="G23" s="54">
        <f t="shared" si="3"/>
        <v>39150</v>
      </c>
      <c r="H23" s="55">
        <v>14</v>
      </c>
      <c r="I23" s="55" t="s">
        <v>0</v>
      </c>
      <c r="J23" s="56" t="s">
        <v>2</v>
      </c>
      <c r="K23" s="57">
        <v>0</v>
      </c>
      <c r="L23" s="56" t="s">
        <v>2</v>
      </c>
      <c r="M23" s="16">
        <v>36590000000</v>
      </c>
      <c r="N23" s="16">
        <v>36774984404</v>
      </c>
      <c r="O23" s="57">
        <v>1</v>
      </c>
      <c r="P23" s="57">
        <v>0.13</v>
      </c>
      <c r="Q23" s="57">
        <v>0.13</v>
      </c>
      <c r="R23" s="16">
        <f>R22-33084000000+M23</f>
        <v>154729374547.29999</v>
      </c>
      <c r="S23" s="16">
        <f>S22-33251259470.4+N23</f>
        <v>156920685241</v>
      </c>
      <c r="T23" s="17">
        <f t="shared" si="1"/>
        <v>4756700000</v>
      </c>
      <c r="U23" s="18"/>
      <c r="V23" s="19"/>
      <c r="W23" s="19"/>
      <c r="X23" s="19"/>
    </row>
    <row r="24" spans="1:24" ht="26.25" customHeight="1" x14ac:dyDescent="0.2">
      <c r="A24" s="85"/>
      <c r="B24" s="46">
        <v>20</v>
      </c>
      <c r="C24" s="40" t="s">
        <v>29</v>
      </c>
      <c r="D24" s="41" t="s">
        <v>28</v>
      </c>
      <c r="E24" s="42" t="s">
        <v>30</v>
      </c>
      <c r="F24" s="54">
        <v>39139</v>
      </c>
      <c r="G24" s="54">
        <f t="shared" ref="G24:G30" si="4">+F24+H24</f>
        <v>39321</v>
      </c>
      <c r="H24" s="55">
        <v>182</v>
      </c>
      <c r="I24" s="55" t="s">
        <v>0</v>
      </c>
      <c r="J24" s="56">
        <v>5000000000</v>
      </c>
      <c r="K24" s="57">
        <v>0</v>
      </c>
      <c r="L24" s="56">
        <v>5000000000</v>
      </c>
      <c r="M24" s="16">
        <v>4700865200</v>
      </c>
      <c r="N24" s="16">
        <v>5000000000</v>
      </c>
      <c r="O24" s="57">
        <v>1</v>
      </c>
      <c r="P24" s="57">
        <v>0.127</v>
      </c>
      <c r="Q24" s="57">
        <v>0.12590000000000001</v>
      </c>
      <c r="R24" s="16">
        <f>154729374547.3-2500000000+4700865200</f>
        <v>156930239747.29999</v>
      </c>
      <c r="S24" s="16">
        <f>156920685241-2561581625+5000000000</f>
        <v>159359103616</v>
      </c>
      <c r="T24" s="17">
        <f t="shared" si="1"/>
        <v>591838928.68000007</v>
      </c>
      <c r="U24" s="18"/>
      <c r="V24" s="19"/>
      <c r="W24" s="19"/>
      <c r="X24" s="19"/>
    </row>
    <row r="25" spans="1:24" ht="26.25" customHeight="1" x14ac:dyDescent="0.2">
      <c r="A25" s="85"/>
      <c r="B25" s="46">
        <v>21</v>
      </c>
      <c r="C25" s="40" t="s">
        <v>25</v>
      </c>
      <c r="D25" s="41" t="s">
        <v>26</v>
      </c>
      <c r="E25" s="42" t="s">
        <v>27</v>
      </c>
      <c r="F25" s="54">
        <v>39141</v>
      </c>
      <c r="G25" s="54">
        <f t="shared" si="4"/>
        <v>39155</v>
      </c>
      <c r="H25" s="55">
        <v>14</v>
      </c>
      <c r="I25" s="55" t="s">
        <v>0</v>
      </c>
      <c r="J25" s="56" t="s">
        <v>2</v>
      </c>
      <c r="K25" s="57">
        <v>0</v>
      </c>
      <c r="L25" s="56" t="s">
        <v>2</v>
      </c>
      <c r="M25" s="16">
        <v>34620000000</v>
      </c>
      <c r="N25" s="16">
        <v>34795024872</v>
      </c>
      <c r="O25" s="57">
        <v>1</v>
      </c>
      <c r="P25" s="57">
        <v>0.13</v>
      </c>
      <c r="Q25" s="57">
        <v>0.13</v>
      </c>
      <c r="R25" s="16">
        <f>156930239747.3-M20+34620000000</f>
        <v>164660239747.29999</v>
      </c>
      <c r="S25" s="16">
        <f>159359103616-N20+34795024872</f>
        <v>167128183404</v>
      </c>
      <c r="T25" s="17">
        <f t="shared" si="1"/>
        <v>4500600000</v>
      </c>
      <c r="U25" s="18"/>
      <c r="V25" s="19"/>
      <c r="W25" s="19"/>
      <c r="X25" s="19"/>
    </row>
    <row r="26" spans="1:24" ht="26.25" customHeight="1" x14ac:dyDescent="0.2">
      <c r="A26" s="85"/>
      <c r="B26" s="46">
        <v>22</v>
      </c>
      <c r="C26" s="40" t="s">
        <v>25</v>
      </c>
      <c r="D26" s="41" t="s">
        <v>26</v>
      </c>
      <c r="E26" s="42" t="s">
        <v>27</v>
      </c>
      <c r="F26" s="54">
        <v>39143</v>
      </c>
      <c r="G26" s="54">
        <f t="shared" si="4"/>
        <v>39157</v>
      </c>
      <c r="H26" s="55">
        <v>14</v>
      </c>
      <c r="I26" s="55" t="s">
        <v>0</v>
      </c>
      <c r="J26" s="56" t="s">
        <v>2</v>
      </c>
      <c r="K26" s="57">
        <v>0</v>
      </c>
      <c r="L26" s="56" t="s">
        <v>2</v>
      </c>
      <c r="M26" s="16">
        <v>35155000000</v>
      </c>
      <c r="N26" s="16">
        <v>35312220191</v>
      </c>
      <c r="O26" s="57">
        <v>1</v>
      </c>
      <c r="P26" s="57">
        <v>0.115</v>
      </c>
      <c r="Q26" s="57">
        <v>0.115</v>
      </c>
      <c r="R26" s="16">
        <f>164660239747.3-M21+35155000000</f>
        <v>168400239747.29999</v>
      </c>
      <c r="S26" s="16">
        <f>167128183404-N21+35312220191</f>
        <v>170866581921</v>
      </c>
      <c r="T26" s="17">
        <f t="shared" si="1"/>
        <v>4042825000</v>
      </c>
      <c r="U26" s="18"/>
      <c r="V26" s="19"/>
      <c r="W26" s="19"/>
      <c r="X26" s="19"/>
    </row>
    <row r="27" spans="1:24" ht="26.25" customHeight="1" x14ac:dyDescent="0.2">
      <c r="A27" s="85"/>
      <c r="B27" s="46">
        <v>23</v>
      </c>
      <c r="C27" s="40" t="s">
        <v>25</v>
      </c>
      <c r="D27" s="41" t="s">
        <v>26</v>
      </c>
      <c r="E27" s="42" t="s">
        <v>27</v>
      </c>
      <c r="F27" s="54">
        <v>39148</v>
      </c>
      <c r="G27" s="54">
        <f t="shared" si="4"/>
        <v>39162</v>
      </c>
      <c r="H27" s="55">
        <v>14</v>
      </c>
      <c r="I27" s="55" t="s">
        <v>0</v>
      </c>
      <c r="J27" s="56" t="s">
        <v>2</v>
      </c>
      <c r="K27" s="57">
        <v>0</v>
      </c>
      <c r="L27" s="56" t="s">
        <v>2</v>
      </c>
      <c r="M27" s="16">
        <v>30150000000</v>
      </c>
      <c r="N27" s="16">
        <v>30284836830</v>
      </c>
      <c r="O27" s="57">
        <v>1</v>
      </c>
      <c r="P27" s="57">
        <v>0.115</v>
      </c>
      <c r="Q27" s="57">
        <v>0.115</v>
      </c>
      <c r="R27" s="16">
        <f>R26-36465000000+M27</f>
        <v>162085239747.29999</v>
      </c>
      <c r="S27" s="16">
        <f>S26-36649352454+N27</f>
        <v>164502066297</v>
      </c>
      <c r="T27" s="17">
        <f t="shared" si="1"/>
        <v>3467250000</v>
      </c>
      <c r="U27" s="18"/>
      <c r="V27" s="19"/>
      <c r="W27" s="19"/>
      <c r="X27" s="19"/>
    </row>
    <row r="28" spans="1:24" ht="26.25" customHeight="1" x14ac:dyDescent="0.2">
      <c r="A28" s="85"/>
      <c r="B28" s="46">
        <v>24</v>
      </c>
      <c r="C28" s="40" t="s">
        <v>25</v>
      </c>
      <c r="D28" s="41" t="s">
        <v>26</v>
      </c>
      <c r="E28" s="42" t="s">
        <v>27</v>
      </c>
      <c r="F28" s="54">
        <v>39150</v>
      </c>
      <c r="G28" s="54">
        <f t="shared" si="4"/>
        <v>39164</v>
      </c>
      <c r="H28" s="55">
        <v>14</v>
      </c>
      <c r="I28" s="55" t="s">
        <v>0</v>
      </c>
      <c r="J28" s="56" t="s">
        <v>2</v>
      </c>
      <c r="K28" s="57">
        <v>0</v>
      </c>
      <c r="L28" s="56" t="s">
        <v>2</v>
      </c>
      <c r="M28" s="16">
        <v>32980000000</v>
      </c>
      <c r="N28" s="16">
        <v>33127493156</v>
      </c>
      <c r="O28" s="57">
        <v>1</v>
      </c>
      <c r="P28" s="57">
        <v>0.115</v>
      </c>
      <c r="Q28" s="57">
        <v>0.115</v>
      </c>
      <c r="R28" s="16">
        <f>R27-36590000000+M28</f>
        <v>158475239747.29999</v>
      </c>
      <c r="S28" s="16">
        <f>S27-36774984404+N28</f>
        <v>160854575049</v>
      </c>
      <c r="T28" s="17">
        <f t="shared" si="1"/>
        <v>3792700000</v>
      </c>
      <c r="U28" s="18"/>
      <c r="V28" s="19"/>
      <c r="W28" s="19"/>
      <c r="X28" s="19"/>
    </row>
    <row r="29" spans="1:24" ht="26.25" customHeight="1" x14ac:dyDescent="0.2">
      <c r="A29" s="85"/>
      <c r="B29" s="46">
        <v>25</v>
      </c>
      <c r="C29" s="40" t="s">
        <v>29</v>
      </c>
      <c r="D29" s="41" t="s">
        <v>28</v>
      </c>
      <c r="E29" s="42" t="s">
        <v>30</v>
      </c>
      <c r="F29" s="54">
        <v>39153</v>
      </c>
      <c r="G29" s="54">
        <f t="shared" si="4"/>
        <v>39335</v>
      </c>
      <c r="H29" s="55">
        <v>182</v>
      </c>
      <c r="I29" s="55" t="s">
        <v>0</v>
      </c>
      <c r="J29" s="56">
        <v>5000000000</v>
      </c>
      <c r="K29" s="57">
        <v>0</v>
      </c>
      <c r="L29" s="56">
        <v>5000000000</v>
      </c>
      <c r="M29" s="16">
        <v>4644564085</v>
      </c>
      <c r="N29" s="16">
        <v>4920000000</v>
      </c>
      <c r="O29" s="57">
        <v>0.98399999999999999</v>
      </c>
      <c r="P29" s="57">
        <v>0.1205</v>
      </c>
      <c r="Q29" s="57">
        <v>0.1173</v>
      </c>
      <c r="R29" s="16">
        <f>158475239747.3+4644564085</f>
        <v>163119803832.29999</v>
      </c>
      <c r="S29" s="16">
        <f>160854575049+4920000000</f>
        <v>165774575049</v>
      </c>
      <c r="T29" s="17">
        <f t="shared" si="1"/>
        <v>544807367.17050004</v>
      </c>
      <c r="U29" s="18"/>
      <c r="V29" s="19"/>
      <c r="W29" s="19"/>
      <c r="X29" s="19"/>
    </row>
    <row r="30" spans="1:24" ht="26.25" customHeight="1" x14ac:dyDescent="0.2">
      <c r="A30" s="85"/>
      <c r="B30" s="46">
        <v>26</v>
      </c>
      <c r="C30" s="40" t="s">
        <v>25</v>
      </c>
      <c r="D30" s="41" t="s">
        <v>26</v>
      </c>
      <c r="E30" s="42" t="s">
        <v>27</v>
      </c>
      <c r="F30" s="54">
        <v>39155</v>
      </c>
      <c r="G30" s="54">
        <f t="shared" si="4"/>
        <v>39169</v>
      </c>
      <c r="H30" s="55">
        <v>14</v>
      </c>
      <c r="I30" s="55" t="s">
        <v>0</v>
      </c>
      <c r="J30" s="56" t="s">
        <v>2</v>
      </c>
      <c r="K30" s="57">
        <v>0</v>
      </c>
      <c r="L30" s="56" t="s">
        <v>2</v>
      </c>
      <c r="M30" s="16">
        <v>32370000000</v>
      </c>
      <c r="N30" s="16">
        <v>32514765114</v>
      </c>
      <c r="O30" s="57">
        <v>1</v>
      </c>
      <c r="P30" s="57">
        <v>0.115</v>
      </c>
      <c r="Q30" s="57">
        <v>0.115</v>
      </c>
      <c r="R30" s="16">
        <f>163119803832.3-M25+32370000000</f>
        <v>160869803832.29999</v>
      </c>
      <c r="S30" s="16">
        <f>165774575049-N25+32514765114</f>
        <v>163494315291</v>
      </c>
      <c r="T30" s="17">
        <f t="shared" si="1"/>
        <v>3722550000</v>
      </c>
      <c r="U30" s="18"/>
      <c r="V30" s="19"/>
      <c r="W30" s="19"/>
      <c r="X30" s="19"/>
    </row>
    <row r="31" spans="1:24" ht="26.25" customHeight="1" x14ac:dyDescent="0.2">
      <c r="A31" s="85"/>
      <c r="B31" s="46">
        <v>27</v>
      </c>
      <c r="C31" s="40" t="s">
        <v>25</v>
      </c>
      <c r="D31" s="41" t="s">
        <v>26</v>
      </c>
      <c r="E31" s="42" t="s">
        <v>27</v>
      </c>
      <c r="F31" s="54">
        <v>39157</v>
      </c>
      <c r="G31" s="54">
        <f>+F31+H31</f>
        <v>39171</v>
      </c>
      <c r="H31" s="55">
        <v>14</v>
      </c>
      <c r="I31" s="55" t="s">
        <v>0</v>
      </c>
      <c r="J31" s="56" t="s">
        <v>2</v>
      </c>
      <c r="K31" s="57">
        <v>0</v>
      </c>
      <c r="L31" s="56" t="s">
        <v>2</v>
      </c>
      <c r="M31" s="16">
        <v>33545000000</v>
      </c>
      <c r="N31" s="16">
        <v>33695019949</v>
      </c>
      <c r="O31" s="57">
        <v>1</v>
      </c>
      <c r="P31" s="57">
        <v>0.115</v>
      </c>
      <c r="Q31" s="57">
        <v>0.115</v>
      </c>
      <c r="R31" s="16">
        <f>160869803832.3-M26+33545000000</f>
        <v>159259803832.29999</v>
      </c>
      <c r="S31" s="16">
        <f>163494315291-N26+33695019949</f>
        <v>161877115049</v>
      </c>
      <c r="T31" s="17">
        <f t="shared" si="1"/>
        <v>3857675000</v>
      </c>
      <c r="U31" s="18"/>
      <c r="V31" s="19"/>
      <c r="W31" s="19"/>
      <c r="X31" s="19"/>
    </row>
    <row r="32" spans="1:24" ht="26.25" customHeight="1" x14ac:dyDescent="0.2">
      <c r="A32" s="85"/>
      <c r="B32" s="46">
        <v>28</v>
      </c>
      <c r="C32" s="40" t="s">
        <v>25</v>
      </c>
      <c r="D32" s="41" t="s">
        <v>26</v>
      </c>
      <c r="E32" s="42" t="s">
        <v>27</v>
      </c>
      <c r="F32" s="54">
        <v>39162</v>
      </c>
      <c r="G32" s="54">
        <f>F32+H32</f>
        <v>39176</v>
      </c>
      <c r="H32" s="55">
        <v>14</v>
      </c>
      <c r="I32" s="55" t="s">
        <v>0</v>
      </c>
      <c r="J32" s="56" t="s">
        <v>2</v>
      </c>
      <c r="K32" s="57">
        <v>0</v>
      </c>
      <c r="L32" s="56" t="s">
        <v>2</v>
      </c>
      <c r="M32" s="16">
        <v>30960000000</v>
      </c>
      <c r="N32" s="16">
        <v>31098459312</v>
      </c>
      <c r="O32" s="57">
        <v>1</v>
      </c>
      <c r="P32" s="57">
        <v>0.115</v>
      </c>
      <c r="Q32" s="57">
        <v>0.115</v>
      </c>
      <c r="R32" s="16">
        <f>R31-30150000000+M32</f>
        <v>160069803832.29999</v>
      </c>
      <c r="S32" s="16">
        <f>S31-30284836830+N32</f>
        <v>162690737531</v>
      </c>
      <c r="T32" s="17">
        <f t="shared" si="1"/>
        <v>3560400000</v>
      </c>
      <c r="U32" s="18"/>
      <c r="V32" s="19"/>
      <c r="W32" s="19"/>
      <c r="X32" s="19"/>
    </row>
    <row r="33" spans="1:24" ht="26.25" customHeight="1" x14ac:dyDescent="0.2">
      <c r="A33" s="85"/>
      <c r="B33" s="46">
        <v>29</v>
      </c>
      <c r="C33" s="40" t="s">
        <v>25</v>
      </c>
      <c r="D33" s="41" t="s">
        <v>26</v>
      </c>
      <c r="E33" s="42" t="s">
        <v>27</v>
      </c>
      <c r="F33" s="54">
        <v>39164</v>
      </c>
      <c r="G33" s="54">
        <f>F33+H33</f>
        <v>39177</v>
      </c>
      <c r="H33" s="55">
        <v>13</v>
      </c>
      <c r="I33" s="55" t="s">
        <v>0</v>
      </c>
      <c r="J33" s="56" t="s">
        <v>2</v>
      </c>
      <c r="K33" s="57">
        <v>0</v>
      </c>
      <c r="L33" s="56" t="s">
        <v>2</v>
      </c>
      <c r="M33" s="16">
        <v>33940000000</v>
      </c>
      <c r="N33" s="16">
        <v>34080946032</v>
      </c>
      <c r="O33" s="57">
        <v>1</v>
      </c>
      <c r="P33" s="57">
        <v>0.115</v>
      </c>
      <c r="Q33" s="57">
        <v>0.115</v>
      </c>
      <c r="R33" s="16">
        <f>R32-32980000000+M33</f>
        <v>161029803832.29999</v>
      </c>
      <c r="S33" s="16">
        <f>S32-33127493156+N33</f>
        <v>163644190407</v>
      </c>
      <c r="T33" s="17">
        <f t="shared" ref="T33:T81" si="5">Q33*M33</f>
        <v>3903100000</v>
      </c>
      <c r="U33" s="18"/>
      <c r="V33" s="19"/>
      <c r="W33" s="19"/>
      <c r="X33" s="19"/>
    </row>
    <row r="34" spans="1:24" ht="26.25" customHeight="1" x14ac:dyDescent="0.2">
      <c r="A34" s="85"/>
      <c r="B34" s="46">
        <v>30</v>
      </c>
      <c r="C34" s="40" t="s">
        <v>29</v>
      </c>
      <c r="D34" s="41" t="s">
        <v>28</v>
      </c>
      <c r="E34" s="42" t="s">
        <v>30</v>
      </c>
      <c r="F34" s="54">
        <v>39167</v>
      </c>
      <c r="G34" s="54">
        <f>+F34+H34</f>
        <v>39349</v>
      </c>
      <c r="H34" s="55">
        <v>182</v>
      </c>
      <c r="I34" s="55" t="s">
        <v>0</v>
      </c>
      <c r="J34" s="56">
        <v>5000000000</v>
      </c>
      <c r="K34" s="57">
        <v>0</v>
      </c>
      <c r="L34" s="56">
        <v>5000000000</v>
      </c>
      <c r="M34" s="16">
        <v>4719465200.3299999</v>
      </c>
      <c r="N34" s="16">
        <v>5000000000</v>
      </c>
      <c r="O34" s="57">
        <v>1</v>
      </c>
      <c r="P34" s="57">
        <v>0.121</v>
      </c>
      <c r="Q34" s="57">
        <v>0.1176</v>
      </c>
      <c r="R34" s="16">
        <f>161029803832.3+4719465200.33</f>
        <v>165749269032.62997</v>
      </c>
      <c r="S34" s="16">
        <f>163644190407+5000000000</f>
        <v>168644190407</v>
      </c>
      <c r="T34" s="17">
        <f t="shared" si="5"/>
        <v>555009107.55880797</v>
      </c>
      <c r="U34" s="18"/>
      <c r="V34" s="19"/>
      <c r="W34" s="19"/>
      <c r="X34" s="19"/>
    </row>
    <row r="35" spans="1:24" ht="26.25" customHeight="1" x14ac:dyDescent="0.2">
      <c r="A35" s="85"/>
      <c r="B35" s="46">
        <v>31</v>
      </c>
      <c r="C35" s="40" t="s">
        <v>25</v>
      </c>
      <c r="D35" s="41" t="s">
        <v>26</v>
      </c>
      <c r="E35" s="42" t="s">
        <v>27</v>
      </c>
      <c r="F35" s="54">
        <v>39169</v>
      </c>
      <c r="G35" s="54">
        <f t="shared" ref="G35:G40" si="6">F35+H35</f>
        <v>39183</v>
      </c>
      <c r="H35" s="55">
        <v>14</v>
      </c>
      <c r="I35" s="55" t="s">
        <v>0</v>
      </c>
      <c r="J35" s="56" t="s">
        <v>2</v>
      </c>
      <c r="K35" s="57">
        <v>0</v>
      </c>
      <c r="L35" s="56" t="s">
        <v>2</v>
      </c>
      <c r="M35" s="16">
        <v>33030000000</v>
      </c>
      <c r="N35" s="16">
        <v>33177716766</v>
      </c>
      <c r="O35" s="57">
        <v>1</v>
      </c>
      <c r="P35" s="57">
        <v>0.115</v>
      </c>
      <c r="Q35" s="57">
        <v>0.115</v>
      </c>
      <c r="R35" s="16">
        <f>165749269032.63-M30+33030000000</f>
        <v>166409269032.63</v>
      </c>
      <c r="S35" s="16">
        <f>168644190407-N30+33177716766</f>
        <v>169307142059</v>
      </c>
      <c r="T35" s="17">
        <f t="shared" si="5"/>
        <v>3798450000</v>
      </c>
      <c r="U35" s="18"/>
      <c r="V35" s="19"/>
      <c r="W35" s="19"/>
      <c r="X35" s="19"/>
    </row>
    <row r="36" spans="1:24" ht="26.25" customHeight="1" x14ac:dyDescent="0.2">
      <c r="A36" s="85"/>
      <c r="B36" s="46">
        <v>32</v>
      </c>
      <c r="C36" s="40" t="s">
        <v>25</v>
      </c>
      <c r="D36" s="41" t="s">
        <v>26</v>
      </c>
      <c r="E36" s="42" t="s">
        <v>27</v>
      </c>
      <c r="F36" s="54">
        <v>39171</v>
      </c>
      <c r="G36" s="54">
        <f t="shared" si="6"/>
        <v>39185</v>
      </c>
      <c r="H36" s="55">
        <v>14</v>
      </c>
      <c r="I36" s="55" t="s">
        <v>0</v>
      </c>
      <c r="J36" s="56" t="s">
        <v>2</v>
      </c>
      <c r="K36" s="57">
        <v>0</v>
      </c>
      <c r="L36" s="56" t="s">
        <v>2</v>
      </c>
      <c r="M36" s="16">
        <v>32140000000</v>
      </c>
      <c r="N36" s="16">
        <v>32271237262</v>
      </c>
      <c r="O36" s="57">
        <v>1</v>
      </c>
      <c r="P36" s="57">
        <v>0.105</v>
      </c>
      <c r="Q36" s="57">
        <v>0.105</v>
      </c>
      <c r="R36" s="16">
        <f>166409269032.63-M31+32140000000</f>
        <v>165004269032.63</v>
      </c>
      <c r="S36" s="16">
        <f>169307142059-N31+32271237262</f>
        <v>167883359372</v>
      </c>
      <c r="T36" s="17">
        <f t="shared" si="5"/>
        <v>3374700000</v>
      </c>
      <c r="U36" s="18"/>
      <c r="V36" s="19"/>
      <c r="W36" s="19"/>
      <c r="X36" s="19"/>
    </row>
    <row r="37" spans="1:24" ht="26.25" customHeight="1" x14ac:dyDescent="0.2">
      <c r="A37" s="85"/>
      <c r="B37" s="46">
        <v>33</v>
      </c>
      <c r="C37" s="40" t="s">
        <v>25</v>
      </c>
      <c r="D37" s="41" t="s">
        <v>26</v>
      </c>
      <c r="E37" s="42" t="s">
        <v>27</v>
      </c>
      <c r="F37" s="54">
        <v>39176</v>
      </c>
      <c r="G37" s="54">
        <f t="shared" si="6"/>
        <v>39190</v>
      </c>
      <c r="H37" s="55">
        <v>14</v>
      </c>
      <c r="I37" s="55" t="s">
        <v>0</v>
      </c>
      <c r="J37" s="56" t="s">
        <v>2</v>
      </c>
      <c r="K37" s="57">
        <v>0</v>
      </c>
      <c r="L37" s="56" t="s">
        <v>2</v>
      </c>
      <c r="M37" s="16">
        <v>25205000000</v>
      </c>
      <c r="N37" s="16">
        <v>25307919576.5</v>
      </c>
      <c r="O37" s="57">
        <v>1</v>
      </c>
      <c r="P37" s="57">
        <v>0.105</v>
      </c>
      <c r="Q37" s="57">
        <v>0.105</v>
      </c>
      <c r="R37" s="16">
        <f>R36-30960000000+M37</f>
        <v>159249269032.63</v>
      </c>
      <c r="S37" s="16">
        <f>S36-31098459312+N37</f>
        <v>162092819636.5</v>
      </c>
      <c r="T37" s="17">
        <f t="shared" si="5"/>
        <v>2646525000</v>
      </c>
      <c r="U37" s="18"/>
      <c r="V37" s="19"/>
      <c r="W37" s="19"/>
      <c r="X37" s="19"/>
    </row>
    <row r="38" spans="1:24" ht="26.25" customHeight="1" x14ac:dyDescent="0.2">
      <c r="A38" s="85"/>
      <c r="B38" s="46">
        <v>34</v>
      </c>
      <c r="C38" s="40" t="s">
        <v>25</v>
      </c>
      <c r="D38" s="41" t="s">
        <v>26</v>
      </c>
      <c r="E38" s="42" t="s">
        <v>27</v>
      </c>
      <c r="F38" s="54">
        <v>39177</v>
      </c>
      <c r="G38" s="54">
        <f t="shared" si="6"/>
        <v>39192</v>
      </c>
      <c r="H38" s="55">
        <v>15</v>
      </c>
      <c r="I38" s="55" t="s">
        <v>0</v>
      </c>
      <c r="J38" s="56" t="s">
        <v>2</v>
      </c>
      <c r="K38" s="57">
        <v>0</v>
      </c>
      <c r="L38" s="56" t="s">
        <v>2</v>
      </c>
      <c r="M38" s="16">
        <v>30470000000</v>
      </c>
      <c r="N38" s="16">
        <v>30603306250</v>
      </c>
      <c r="O38" s="57">
        <v>1</v>
      </c>
      <c r="P38" s="57">
        <v>0.105</v>
      </c>
      <c r="Q38" s="57">
        <v>0.105</v>
      </c>
      <c r="R38" s="16">
        <f>R37-33940000000+M38</f>
        <v>155779269032.63</v>
      </c>
      <c r="S38" s="16">
        <f>S37-34080946032+N38</f>
        <v>158615179854.5</v>
      </c>
      <c r="T38" s="17">
        <f t="shared" si="5"/>
        <v>3199350000</v>
      </c>
      <c r="U38" s="18"/>
      <c r="V38" s="19"/>
      <c r="W38" s="19"/>
      <c r="X38" s="19"/>
    </row>
    <row r="39" spans="1:24" ht="26.25" customHeight="1" x14ac:dyDescent="0.2">
      <c r="A39" s="85"/>
      <c r="B39" s="46">
        <v>35</v>
      </c>
      <c r="C39" s="40" t="s">
        <v>25</v>
      </c>
      <c r="D39" s="41" t="s">
        <v>26</v>
      </c>
      <c r="E39" s="42" t="s">
        <v>27</v>
      </c>
      <c r="F39" s="54">
        <v>39183</v>
      </c>
      <c r="G39" s="54">
        <f t="shared" si="6"/>
        <v>39197</v>
      </c>
      <c r="H39" s="55">
        <v>14</v>
      </c>
      <c r="I39" s="55" t="s">
        <v>0</v>
      </c>
      <c r="J39" s="56" t="s">
        <v>2</v>
      </c>
      <c r="K39" s="57">
        <v>0</v>
      </c>
      <c r="L39" s="56" t="s">
        <v>2</v>
      </c>
      <c r="M39" s="16">
        <v>20475000000</v>
      </c>
      <c r="N39" s="16">
        <v>20558605567.5</v>
      </c>
      <c r="O39" s="57">
        <v>1</v>
      </c>
      <c r="P39" s="57">
        <v>0.105</v>
      </c>
      <c r="Q39" s="57">
        <v>0.105</v>
      </c>
      <c r="R39" s="16">
        <f>155779269032.63-M35+20475000000</f>
        <v>143224269032.63</v>
      </c>
      <c r="S39" s="16">
        <f>158615179854.5-N35+20558605567.5</f>
        <v>145996068656</v>
      </c>
      <c r="T39" s="17">
        <f t="shared" si="5"/>
        <v>2149875000</v>
      </c>
      <c r="U39" s="18"/>
      <c r="V39" s="19"/>
      <c r="W39" s="19"/>
      <c r="X39" s="19"/>
    </row>
    <row r="40" spans="1:24" ht="26.25" customHeight="1" x14ac:dyDescent="0.2">
      <c r="A40" s="85"/>
      <c r="B40" s="46">
        <v>36</v>
      </c>
      <c r="C40" s="40" t="s">
        <v>25</v>
      </c>
      <c r="D40" s="41" t="s">
        <v>26</v>
      </c>
      <c r="E40" s="42" t="s">
        <v>27</v>
      </c>
      <c r="F40" s="54">
        <v>39185</v>
      </c>
      <c r="G40" s="54">
        <f t="shared" si="6"/>
        <v>39199</v>
      </c>
      <c r="H40" s="55">
        <v>14</v>
      </c>
      <c r="I40" s="55" t="s">
        <v>0</v>
      </c>
      <c r="J40" s="56" t="s">
        <v>2</v>
      </c>
      <c r="K40" s="57">
        <v>0</v>
      </c>
      <c r="L40" s="56" t="s">
        <v>2</v>
      </c>
      <c r="M40" s="16">
        <v>27340000000</v>
      </c>
      <c r="N40" s="16">
        <v>27451637422</v>
      </c>
      <c r="O40" s="57">
        <v>1</v>
      </c>
      <c r="P40" s="57">
        <v>0.105</v>
      </c>
      <c r="Q40" s="57">
        <v>0.105</v>
      </c>
      <c r="R40" s="16">
        <f>143224269032.63-M36+27340000000</f>
        <v>138424269032.63</v>
      </c>
      <c r="S40" s="16">
        <f>145996068656-N36+27451637422</f>
        <v>141176468816</v>
      </c>
      <c r="T40" s="17">
        <f t="shared" si="5"/>
        <v>2870700000</v>
      </c>
      <c r="U40" s="18"/>
      <c r="V40" s="19"/>
      <c r="W40" s="19"/>
      <c r="X40" s="19"/>
    </row>
    <row r="41" spans="1:24" ht="26.25" customHeight="1" x14ac:dyDescent="0.2">
      <c r="A41" s="85"/>
      <c r="B41" s="46">
        <v>37</v>
      </c>
      <c r="C41" s="40" t="s">
        <v>29</v>
      </c>
      <c r="D41" s="41" t="s">
        <v>28</v>
      </c>
      <c r="E41" s="42" t="s">
        <v>30</v>
      </c>
      <c r="F41" s="54">
        <v>39188</v>
      </c>
      <c r="G41" s="54">
        <f>+F41+H41</f>
        <v>39370</v>
      </c>
      <c r="H41" s="55">
        <v>182</v>
      </c>
      <c r="I41" s="55" t="s">
        <v>0</v>
      </c>
      <c r="J41" s="56">
        <v>5000000000</v>
      </c>
      <c r="K41" s="57">
        <v>0</v>
      </c>
      <c r="L41" s="56">
        <v>5000000000</v>
      </c>
      <c r="M41" s="16">
        <v>4736117414.1999998</v>
      </c>
      <c r="N41" s="16">
        <v>5000000000</v>
      </c>
      <c r="O41" s="57">
        <v>1</v>
      </c>
      <c r="P41" s="57">
        <v>0.1125</v>
      </c>
      <c r="Q41" s="57">
        <v>0.11020000000000001</v>
      </c>
      <c r="R41" s="16">
        <f>R40+M41</f>
        <v>143160386446.83002</v>
      </c>
      <c r="S41" s="16">
        <f>S40+N41</f>
        <v>146176468816</v>
      </c>
      <c r="T41" s="17">
        <f t="shared" si="5"/>
        <v>521920139.04484004</v>
      </c>
      <c r="U41" s="18"/>
      <c r="V41" s="19"/>
      <c r="W41" s="19"/>
      <c r="X41" s="19"/>
    </row>
    <row r="42" spans="1:24" ht="26.25" customHeight="1" x14ac:dyDescent="0.2">
      <c r="A42" s="27"/>
      <c r="B42" s="47"/>
      <c r="C42" s="36"/>
      <c r="D42" s="36"/>
      <c r="E42" s="36"/>
      <c r="F42" s="28"/>
      <c r="G42" s="28"/>
      <c r="H42" s="24"/>
      <c r="I42" s="24"/>
      <c r="J42" s="25"/>
      <c r="K42" s="26"/>
      <c r="L42" s="25"/>
      <c r="M42" s="23"/>
      <c r="N42" s="23"/>
      <c r="O42" s="26"/>
      <c r="P42" s="26"/>
      <c r="Q42" s="26"/>
      <c r="R42" s="23"/>
      <c r="S42" s="23"/>
      <c r="T42" s="17"/>
      <c r="U42" s="18"/>
      <c r="V42" s="19"/>
      <c r="W42" s="19"/>
      <c r="X42" s="19"/>
    </row>
    <row r="43" spans="1:24" ht="26.25" customHeight="1" x14ac:dyDescent="0.2">
      <c r="A43" s="84">
        <v>2007</v>
      </c>
      <c r="B43" s="48">
        <v>38</v>
      </c>
      <c r="C43" s="40" t="s">
        <v>25</v>
      </c>
      <c r="D43" s="41" t="s">
        <v>26</v>
      </c>
      <c r="E43" s="42" t="s">
        <v>27</v>
      </c>
      <c r="F43" s="58">
        <v>39190</v>
      </c>
      <c r="G43" s="58">
        <f>F43+H43</f>
        <v>39206</v>
      </c>
      <c r="H43" s="59">
        <v>16</v>
      </c>
      <c r="I43" s="59" t="s">
        <v>0</v>
      </c>
      <c r="J43" s="60" t="s">
        <v>2</v>
      </c>
      <c r="K43" s="61">
        <v>0</v>
      </c>
      <c r="L43" s="60" t="s">
        <v>2</v>
      </c>
      <c r="M43" s="29">
        <v>31400000000</v>
      </c>
      <c r="N43" s="29">
        <v>31546534380</v>
      </c>
      <c r="O43" s="61">
        <v>1</v>
      </c>
      <c r="P43" s="61">
        <v>0.105</v>
      </c>
      <c r="Q43" s="61">
        <v>0.105</v>
      </c>
      <c r="R43" s="29">
        <f>R41-25205000000+M43</f>
        <v>149355386446.83002</v>
      </c>
      <c r="S43" s="29">
        <f>S41-25307919576.5+N43</f>
        <v>152415083619.5</v>
      </c>
      <c r="T43" s="17">
        <f t="shared" si="5"/>
        <v>3297000000</v>
      </c>
      <c r="U43" s="18"/>
      <c r="V43" s="19"/>
      <c r="W43" s="19"/>
      <c r="X43" s="19"/>
    </row>
    <row r="44" spans="1:24" ht="26.25" customHeight="1" x14ac:dyDescent="0.2">
      <c r="A44" s="85"/>
      <c r="B44" s="46">
        <v>39</v>
      </c>
      <c r="C44" s="40" t="s">
        <v>25</v>
      </c>
      <c r="D44" s="41" t="s">
        <v>26</v>
      </c>
      <c r="E44" s="42" t="s">
        <v>27</v>
      </c>
      <c r="F44" s="54">
        <v>39192</v>
      </c>
      <c r="G44" s="54">
        <f>F44+H44</f>
        <v>39206</v>
      </c>
      <c r="H44" s="55">
        <v>14</v>
      </c>
      <c r="I44" s="55" t="s">
        <v>0</v>
      </c>
      <c r="J44" s="56" t="s">
        <v>2</v>
      </c>
      <c r="K44" s="57">
        <v>0</v>
      </c>
      <c r="L44" s="56" t="s">
        <v>2</v>
      </c>
      <c r="M44" s="16">
        <v>32330000000</v>
      </c>
      <c r="N44" s="16">
        <v>32462013089</v>
      </c>
      <c r="O44" s="57">
        <v>1</v>
      </c>
      <c r="P44" s="57">
        <v>0.105</v>
      </c>
      <c r="Q44" s="57">
        <v>0.105</v>
      </c>
      <c r="R44" s="16">
        <f>R43-30470000000+M44</f>
        <v>151215386446.83002</v>
      </c>
      <c r="S44" s="16">
        <f>S43-30603306250+N44</f>
        <v>154273790458.5</v>
      </c>
      <c r="T44" s="17">
        <f t="shared" si="5"/>
        <v>3394650000</v>
      </c>
      <c r="U44" s="18"/>
      <c r="V44" s="19"/>
      <c r="W44" s="19"/>
      <c r="X44" s="19"/>
    </row>
    <row r="45" spans="1:24" ht="26.25" customHeight="1" x14ac:dyDescent="0.2">
      <c r="A45" s="85"/>
      <c r="B45" s="46">
        <v>40</v>
      </c>
      <c r="C45" s="40" t="s">
        <v>25</v>
      </c>
      <c r="D45" s="41" t="s">
        <v>26</v>
      </c>
      <c r="E45" s="42" t="s">
        <v>27</v>
      </c>
      <c r="F45" s="54">
        <v>39197</v>
      </c>
      <c r="G45" s="54">
        <f>F45+H45</f>
        <v>39211</v>
      </c>
      <c r="H45" s="55">
        <v>14</v>
      </c>
      <c r="I45" s="55" t="s">
        <v>0</v>
      </c>
      <c r="J45" s="56" t="s">
        <v>2</v>
      </c>
      <c r="K45" s="57">
        <v>0</v>
      </c>
      <c r="L45" s="56" t="s">
        <v>2</v>
      </c>
      <c r="M45" s="16">
        <v>29860000000</v>
      </c>
      <c r="N45" s="16">
        <v>29981927338</v>
      </c>
      <c r="O45" s="57">
        <v>1</v>
      </c>
      <c r="P45" s="57">
        <v>0.105</v>
      </c>
      <c r="Q45" s="57">
        <v>0.105</v>
      </c>
      <c r="R45" s="16">
        <f>151215386446.83-M39+29860000000</f>
        <v>160600386446.82999</v>
      </c>
      <c r="S45" s="16">
        <f>154273790458.5-N39+29981927338</f>
        <v>163697112229</v>
      </c>
      <c r="T45" s="17">
        <f t="shared" si="5"/>
        <v>3135300000</v>
      </c>
      <c r="U45" s="18"/>
      <c r="V45" s="19"/>
      <c r="W45" s="19"/>
      <c r="X45" s="19"/>
    </row>
    <row r="46" spans="1:24" ht="26.25" customHeight="1" x14ac:dyDescent="0.2">
      <c r="A46" s="85"/>
      <c r="B46" s="46">
        <v>41</v>
      </c>
      <c r="C46" s="40" t="s">
        <v>25</v>
      </c>
      <c r="D46" s="41" t="s">
        <v>26</v>
      </c>
      <c r="E46" s="42" t="s">
        <v>27</v>
      </c>
      <c r="F46" s="54">
        <v>39199</v>
      </c>
      <c r="G46" s="54">
        <f>F46+H46</f>
        <v>39213</v>
      </c>
      <c r="H46" s="55">
        <v>14</v>
      </c>
      <c r="I46" s="55" t="s">
        <v>0</v>
      </c>
      <c r="J46" s="56" t="s">
        <v>2</v>
      </c>
      <c r="K46" s="57">
        <v>0</v>
      </c>
      <c r="L46" s="56" t="s">
        <v>2</v>
      </c>
      <c r="M46" s="16">
        <v>28040000000</v>
      </c>
      <c r="N46" s="16">
        <v>28154495732</v>
      </c>
      <c r="O46" s="57">
        <v>1</v>
      </c>
      <c r="P46" s="57">
        <v>0.105</v>
      </c>
      <c r="Q46" s="57">
        <v>0.105</v>
      </c>
      <c r="R46" s="16">
        <f>160600386446.83-M40+28040000000</f>
        <v>161300386446.82999</v>
      </c>
      <c r="S46" s="16">
        <f>163697112229-N40+28154495732</f>
        <v>164399970539</v>
      </c>
      <c r="T46" s="17">
        <f t="shared" si="5"/>
        <v>2944200000</v>
      </c>
      <c r="U46" s="18"/>
      <c r="V46" s="19"/>
      <c r="W46" s="19"/>
      <c r="X46" s="19"/>
    </row>
    <row r="47" spans="1:24" ht="26.25" customHeight="1" x14ac:dyDescent="0.2">
      <c r="A47" s="85"/>
      <c r="B47" s="46">
        <v>42</v>
      </c>
      <c r="C47" s="40" t="s">
        <v>29</v>
      </c>
      <c r="D47" s="41" t="s">
        <v>28</v>
      </c>
      <c r="E47" s="42" t="s">
        <v>30</v>
      </c>
      <c r="F47" s="54">
        <v>39202</v>
      </c>
      <c r="G47" s="54">
        <f>+F47+H47</f>
        <v>39384</v>
      </c>
      <c r="H47" s="55">
        <v>182</v>
      </c>
      <c r="I47" s="55" t="s">
        <v>0</v>
      </c>
      <c r="J47" s="56">
        <v>2500000000</v>
      </c>
      <c r="K47" s="57">
        <v>0</v>
      </c>
      <c r="L47" s="56">
        <v>2500000000</v>
      </c>
      <c r="M47" s="16">
        <v>2373794648.96</v>
      </c>
      <c r="N47" s="16">
        <v>2500000000</v>
      </c>
      <c r="O47" s="57">
        <v>1</v>
      </c>
      <c r="P47" s="57">
        <v>0.1075</v>
      </c>
      <c r="Q47" s="57">
        <v>0.1052</v>
      </c>
      <c r="R47" s="16">
        <f>R46+M47</f>
        <v>163674181095.78998</v>
      </c>
      <c r="S47" s="16">
        <f>S46+N47</f>
        <v>166899970539</v>
      </c>
      <c r="T47" s="17">
        <f t="shared" si="5"/>
        <v>249723197.07059202</v>
      </c>
      <c r="U47" s="18"/>
      <c r="V47" s="19"/>
      <c r="W47" s="19"/>
      <c r="X47" s="19"/>
    </row>
    <row r="48" spans="1:24" ht="26.25" customHeight="1" x14ac:dyDescent="0.2">
      <c r="A48" s="85"/>
      <c r="B48" s="46">
        <v>43</v>
      </c>
      <c r="C48" s="40" t="s">
        <v>25</v>
      </c>
      <c r="D48" s="41" t="s">
        <v>26</v>
      </c>
      <c r="E48" s="42" t="s">
        <v>27</v>
      </c>
      <c r="F48" s="54">
        <v>39206</v>
      </c>
      <c r="G48" s="54">
        <f>F48+H48</f>
        <v>39220</v>
      </c>
      <c r="H48" s="55">
        <v>14</v>
      </c>
      <c r="I48" s="55" t="s">
        <v>0</v>
      </c>
      <c r="J48" s="56" t="s">
        <v>2</v>
      </c>
      <c r="K48" s="57">
        <v>0</v>
      </c>
      <c r="L48" s="56" t="s">
        <v>2</v>
      </c>
      <c r="M48" s="16">
        <v>57300000000</v>
      </c>
      <c r="N48" s="16">
        <v>57522833970</v>
      </c>
      <c r="O48" s="57">
        <v>1</v>
      </c>
      <c r="P48" s="57">
        <v>0.1</v>
      </c>
      <c r="Q48" s="57">
        <v>0.1</v>
      </c>
      <c r="R48" s="16">
        <f>R47-31400000000-32330000000+M48</f>
        <v>157244181095.78998</v>
      </c>
      <c r="S48" s="16">
        <f>S47-31546534380-32462013089+N48</f>
        <v>160414257040</v>
      </c>
      <c r="T48" s="17">
        <f t="shared" si="5"/>
        <v>5730000000</v>
      </c>
      <c r="U48" s="18"/>
      <c r="V48" s="19"/>
      <c r="W48" s="19"/>
      <c r="X48" s="19"/>
    </row>
    <row r="49" spans="1:24" ht="26.25" customHeight="1" x14ac:dyDescent="0.2">
      <c r="A49" s="85"/>
      <c r="B49" s="46">
        <v>44</v>
      </c>
      <c r="C49" s="40" t="s">
        <v>25</v>
      </c>
      <c r="D49" s="41" t="s">
        <v>26</v>
      </c>
      <c r="E49" s="42" t="s">
        <v>27</v>
      </c>
      <c r="F49" s="54">
        <v>39211</v>
      </c>
      <c r="G49" s="54">
        <f>F49+H49</f>
        <v>39225</v>
      </c>
      <c r="H49" s="55">
        <v>14</v>
      </c>
      <c r="I49" s="55" t="s">
        <v>0</v>
      </c>
      <c r="J49" s="56" t="s">
        <v>2</v>
      </c>
      <c r="K49" s="57">
        <v>0</v>
      </c>
      <c r="L49" s="56" t="s">
        <v>2</v>
      </c>
      <c r="M49" s="16">
        <v>27725000000</v>
      </c>
      <c r="N49" s="16">
        <v>27832819752.5</v>
      </c>
      <c r="O49" s="57">
        <v>1</v>
      </c>
      <c r="P49" s="57">
        <v>0.1</v>
      </c>
      <c r="Q49" s="57">
        <v>0.1</v>
      </c>
      <c r="R49" s="16">
        <f>157244181095.79-M45+27725000000</f>
        <v>155109181095.79001</v>
      </c>
      <c r="S49" s="16">
        <f>160414257040-N45+27832819752.5</f>
        <v>158265149454.5</v>
      </c>
      <c r="T49" s="17">
        <f t="shared" si="5"/>
        <v>2772500000</v>
      </c>
      <c r="U49" s="18"/>
      <c r="V49" s="19"/>
      <c r="W49" s="19"/>
      <c r="X49" s="19"/>
    </row>
    <row r="50" spans="1:24" ht="26.25" customHeight="1" x14ac:dyDescent="0.2">
      <c r="A50" s="85"/>
      <c r="B50" s="46">
        <v>45</v>
      </c>
      <c r="C50" s="40" t="s">
        <v>25</v>
      </c>
      <c r="D50" s="41" t="s">
        <v>26</v>
      </c>
      <c r="E50" s="42" t="s">
        <v>27</v>
      </c>
      <c r="F50" s="54">
        <v>39213</v>
      </c>
      <c r="G50" s="54">
        <f>F50+H50</f>
        <v>39227</v>
      </c>
      <c r="H50" s="55">
        <v>14</v>
      </c>
      <c r="I50" s="55" t="s">
        <v>0</v>
      </c>
      <c r="J50" s="56" t="s">
        <v>2</v>
      </c>
      <c r="K50" s="57">
        <v>0</v>
      </c>
      <c r="L50" s="56" t="s">
        <v>2</v>
      </c>
      <c r="M50" s="16">
        <v>26425000000</v>
      </c>
      <c r="N50" s="16">
        <v>26527764182.5</v>
      </c>
      <c r="O50" s="57">
        <v>1</v>
      </c>
      <c r="P50" s="57">
        <v>0.1</v>
      </c>
      <c r="Q50" s="57">
        <v>0.1</v>
      </c>
      <c r="R50" s="16">
        <f>R49-28040000000+M50</f>
        <v>153494181095.79001</v>
      </c>
      <c r="S50" s="16">
        <f>S49-28154495732+N50</f>
        <v>156638417905</v>
      </c>
      <c r="T50" s="17">
        <f t="shared" si="5"/>
        <v>2642500000</v>
      </c>
      <c r="U50" s="18"/>
      <c r="V50" s="19"/>
      <c r="W50" s="19"/>
      <c r="X50" s="19"/>
    </row>
    <row r="51" spans="1:24" ht="26.25" customHeight="1" x14ac:dyDescent="0.2">
      <c r="A51" s="85"/>
      <c r="B51" s="46">
        <v>46</v>
      </c>
      <c r="C51" s="40" t="s">
        <v>29</v>
      </c>
      <c r="D51" s="41" t="s">
        <v>28</v>
      </c>
      <c r="E51" s="42" t="s">
        <v>30</v>
      </c>
      <c r="F51" s="54">
        <v>39216</v>
      </c>
      <c r="G51" s="54">
        <f>+F51+H51</f>
        <v>39398</v>
      </c>
      <c r="H51" s="55">
        <v>182</v>
      </c>
      <c r="I51" s="55" t="s">
        <v>0</v>
      </c>
      <c r="J51" s="56">
        <v>2500000000</v>
      </c>
      <c r="K51" s="57">
        <v>0</v>
      </c>
      <c r="L51" s="56">
        <v>2500000000</v>
      </c>
      <c r="M51" s="16">
        <v>2108675012</v>
      </c>
      <c r="N51" s="16">
        <v>2220000000</v>
      </c>
      <c r="O51" s="57">
        <v>0.88800000000000001</v>
      </c>
      <c r="P51" s="57">
        <v>0.1142</v>
      </c>
      <c r="Q51" s="57">
        <v>0.10440000000000001</v>
      </c>
      <c r="R51" s="16">
        <f>153494181095.79-2769592345+2108675012</f>
        <v>152833263762.79001</v>
      </c>
      <c r="S51" s="16">
        <f>156638417905-3000000000+2220000000</f>
        <v>155858417905</v>
      </c>
      <c r="T51" s="17">
        <f t="shared" si="5"/>
        <v>220145671.25280002</v>
      </c>
      <c r="U51" s="18"/>
      <c r="V51" s="19"/>
      <c r="W51" s="19"/>
      <c r="X51" s="19"/>
    </row>
    <row r="52" spans="1:24" ht="26.25" customHeight="1" x14ac:dyDescent="0.2">
      <c r="A52" s="85"/>
      <c r="B52" s="46">
        <v>47</v>
      </c>
      <c r="C52" s="40" t="s">
        <v>25</v>
      </c>
      <c r="D52" s="41" t="s">
        <v>26</v>
      </c>
      <c r="E52" s="42" t="s">
        <v>27</v>
      </c>
      <c r="F52" s="54">
        <v>39218</v>
      </c>
      <c r="G52" s="54">
        <f>F52+H52</f>
        <v>39232</v>
      </c>
      <c r="H52" s="55">
        <v>14</v>
      </c>
      <c r="I52" s="55" t="s">
        <v>0</v>
      </c>
      <c r="J52" s="56" t="s">
        <v>2</v>
      </c>
      <c r="K52" s="57">
        <v>0</v>
      </c>
      <c r="L52" s="56" t="s">
        <v>2</v>
      </c>
      <c r="M52" s="16">
        <v>3810000000</v>
      </c>
      <c r="N52" s="16">
        <v>3824816709</v>
      </c>
      <c r="O52" s="57">
        <v>1</v>
      </c>
      <c r="P52" s="57">
        <v>0.1</v>
      </c>
      <c r="Q52" s="57">
        <v>0.1</v>
      </c>
      <c r="R52" s="16">
        <f>152833263762.79+3810000000</f>
        <v>156643263762.79001</v>
      </c>
      <c r="S52" s="16">
        <f>155858417905+3824816709</f>
        <v>159683234614</v>
      </c>
      <c r="T52" s="17">
        <f t="shared" si="5"/>
        <v>381000000</v>
      </c>
      <c r="U52" s="18"/>
      <c r="V52" s="19"/>
      <c r="W52" s="19"/>
      <c r="X52" s="19"/>
    </row>
    <row r="53" spans="1:24" ht="26.25" customHeight="1" x14ac:dyDescent="0.2">
      <c r="A53" s="85"/>
      <c r="B53" s="49">
        <v>48</v>
      </c>
      <c r="C53" s="40" t="s">
        <v>25</v>
      </c>
      <c r="D53" s="41" t="s">
        <v>26</v>
      </c>
      <c r="E53" s="42" t="s">
        <v>27</v>
      </c>
      <c r="F53" s="62">
        <v>39220</v>
      </c>
      <c r="G53" s="62">
        <f>F53+H53</f>
        <v>39234</v>
      </c>
      <c r="H53" s="63">
        <v>14</v>
      </c>
      <c r="I53" s="63" t="s">
        <v>0</v>
      </c>
      <c r="J53" s="64" t="s">
        <v>2</v>
      </c>
      <c r="K53" s="65">
        <v>0</v>
      </c>
      <c r="L53" s="64" t="s">
        <v>2</v>
      </c>
      <c r="M53" s="22">
        <v>27970000000</v>
      </c>
      <c r="N53" s="22">
        <v>28078772533</v>
      </c>
      <c r="O53" s="65">
        <v>1</v>
      </c>
      <c r="P53" s="65">
        <v>0.1</v>
      </c>
      <c r="Q53" s="65">
        <v>0.1</v>
      </c>
      <c r="R53" s="22">
        <f>156643263762.79-M48+27970000000</f>
        <v>127313263762.79001</v>
      </c>
      <c r="S53" s="22">
        <f>159683234614-N48+28078772533</f>
        <v>130239173177</v>
      </c>
      <c r="T53" s="17">
        <f t="shared" si="5"/>
        <v>2797000000</v>
      </c>
      <c r="U53" s="18"/>
      <c r="V53" s="19"/>
      <c r="W53" s="19"/>
      <c r="X53" s="19"/>
    </row>
    <row r="54" spans="1:24" ht="26.25" customHeight="1" x14ac:dyDescent="0.2">
      <c r="A54" s="85"/>
      <c r="B54" s="46">
        <v>49</v>
      </c>
      <c r="C54" s="40" t="s">
        <v>25</v>
      </c>
      <c r="D54" s="41" t="s">
        <v>26</v>
      </c>
      <c r="E54" s="42" t="s">
        <v>27</v>
      </c>
      <c r="F54" s="54">
        <v>39220</v>
      </c>
      <c r="G54" s="54">
        <f>F54+H54</f>
        <v>39232</v>
      </c>
      <c r="H54" s="55">
        <v>12</v>
      </c>
      <c r="I54" s="55" t="s">
        <v>0</v>
      </c>
      <c r="J54" s="56" t="s">
        <v>2</v>
      </c>
      <c r="K54" s="57">
        <v>0</v>
      </c>
      <c r="L54" s="56" t="s">
        <v>2</v>
      </c>
      <c r="M54" s="16">
        <v>24840000000</v>
      </c>
      <c r="N54" s="16">
        <v>24922799172</v>
      </c>
      <c r="O54" s="57">
        <v>1</v>
      </c>
      <c r="P54" s="57">
        <v>0.1</v>
      </c>
      <c r="Q54" s="57">
        <v>0.1</v>
      </c>
      <c r="R54" s="16">
        <f>127313263762.79+24840000000</f>
        <v>152153263762.78998</v>
      </c>
      <c r="S54" s="16">
        <f>130239173177+24922799172</f>
        <v>155161972349</v>
      </c>
      <c r="T54" s="17">
        <f t="shared" si="5"/>
        <v>2484000000</v>
      </c>
      <c r="U54" s="18"/>
      <c r="V54" s="19"/>
      <c r="W54" s="19"/>
      <c r="X54" s="19"/>
    </row>
    <row r="55" spans="1:24" ht="26.25" customHeight="1" x14ac:dyDescent="0.2">
      <c r="A55" s="85"/>
      <c r="B55" s="46">
        <v>50</v>
      </c>
      <c r="C55" s="40" t="s">
        <v>25</v>
      </c>
      <c r="D55" s="41" t="s">
        <v>26</v>
      </c>
      <c r="E55" s="42" t="s">
        <v>27</v>
      </c>
      <c r="F55" s="54">
        <v>39225</v>
      </c>
      <c r="G55" s="54">
        <f>F55+H55</f>
        <v>39239</v>
      </c>
      <c r="H55" s="55">
        <v>14</v>
      </c>
      <c r="I55" s="55" t="s">
        <v>0</v>
      </c>
      <c r="J55" s="56" t="s">
        <v>2</v>
      </c>
      <c r="K55" s="57">
        <v>0</v>
      </c>
      <c r="L55" s="56" t="s">
        <v>2</v>
      </c>
      <c r="M55" s="16">
        <v>31070000000</v>
      </c>
      <c r="N55" s="16">
        <v>31190828123</v>
      </c>
      <c r="O55" s="57">
        <v>1</v>
      </c>
      <c r="P55" s="57">
        <v>0.1</v>
      </c>
      <c r="Q55" s="57">
        <v>0.1</v>
      </c>
      <c r="R55" s="16">
        <f>R54-27725000000+M55</f>
        <v>155498263762.78998</v>
      </c>
      <c r="S55" s="16">
        <f>S54-27832819752.5+N55</f>
        <v>158519980719.5</v>
      </c>
      <c r="T55" s="17">
        <f t="shared" si="5"/>
        <v>3107000000</v>
      </c>
      <c r="U55" s="18"/>
      <c r="V55" s="19"/>
      <c r="W55" s="19"/>
      <c r="X55" s="19"/>
    </row>
    <row r="56" spans="1:24" ht="26.25" customHeight="1" x14ac:dyDescent="0.2">
      <c r="A56" s="85"/>
      <c r="B56" s="46">
        <v>51</v>
      </c>
      <c r="C56" s="40" t="s">
        <v>25</v>
      </c>
      <c r="D56" s="41" t="s">
        <v>26</v>
      </c>
      <c r="E56" s="42" t="s">
        <v>27</v>
      </c>
      <c r="F56" s="54">
        <v>39227</v>
      </c>
      <c r="G56" s="54">
        <f>F56+H56</f>
        <v>39241</v>
      </c>
      <c r="H56" s="55">
        <v>14</v>
      </c>
      <c r="I56" s="55" t="s">
        <v>0</v>
      </c>
      <c r="J56" s="56" t="s">
        <v>2</v>
      </c>
      <c r="K56" s="57">
        <v>0</v>
      </c>
      <c r="L56" s="56" t="s">
        <v>2</v>
      </c>
      <c r="M56" s="16">
        <v>28340000000</v>
      </c>
      <c r="N56" s="16">
        <v>28450211426</v>
      </c>
      <c r="O56" s="57">
        <v>1</v>
      </c>
      <c r="P56" s="57">
        <v>0.1</v>
      </c>
      <c r="Q56" s="57">
        <v>0.1</v>
      </c>
      <c r="R56" s="16">
        <f>R55-26425000000+M56</f>
        <v>157413263762.78998</v>
      </c>
      <c r="S56" s="16">
        <f>S55-26527764182.5+N56</f>
        <v>160442427963</v>
      </c>
      <c r="T56" s="17">
        <f t="shared" si="5"/>
        <v>2834000000</v>
      </c>
      <c r="U56" s="18"/>
      <c r="V56" s="19"/>
      <c r="W56" s="19"/>
      <c r="X56" s="19"/>
    </row>
    <row r="57" spans="1:24" ht="26.25" customHeight="1" x14ac:dyDescent="0.2">
      <c r="A57" s="85"/>
      <c r="B57" s="46">
        <v>52</v>
      </c>
      <c r="C57" s="40" t="s">
        <v>29</v>
      </c>
      <c r="D57" s="41" t="s">
        <v>28</v>
      </c>
      <c r="E57" s="42" t="s">
        <v>30</v>
      </c>
      <c r="F57" s="54">
        <v>39230</v>
      </c>
      <c r="G57" s="54">
        <f>+F57+H57</f>
        <v>39412</v>
      </c>
      <c r="H57" s="55">
        <v>182</v>
      </c>
      <c r="I57" s="55" t="s">
        <v>0</v>
      </c>
      <c r="J57" s="56">
        <v>1500000000</v>
      </c>
      <c r="K57" s="57">
        <v>0</v>
      </c>
      <c r="L57" s="56">
        <v>1500000000</v>
      </c>
      <c r="M57" s="16">
        <v>1425894389.4000001</v>
      </c>
      <c r="N57" s="16">
        <v>1500000000</v>
      </c>
      <c r="O57" s="57">
        <v>1</v>
      </c>
      <c r="P57" s="57">
        <v>0.104</v>
      </c>
      <c r="Q57" s="57">
        <v>0.1028</v>
      </c>
      <c r="R57" s="16">
        <f>R56+1425894389.4</f>
        <v>158839158152.18997</v>
      </c>
      <c r="S57" s="16">
        <f>S56+N57</f>
        <v>161942427963</v>
      </c>
      <c r="T57" s="17">
        <f t="shared" si="5"/>
        <v>146581943.23032001</v>
      </c>
      <c r="U57" s="18"/>
      <c r="V57" s="19"/>
      <c r="W57" s="19"/>
      <c r="X57" s="19"/>
    </row>
    <row r="58" spans="1:24" ht="26.25" customHeight="1" x14ac:dyDescent="0.2">
      <c r="A58" s="85"/>
      <c r="B58" s="46">
        <v>53</v>
      </c>
      <c r="C58" s="40" t="s">
        <v>25</v>
      </c>
      <c r="D58" s="41" t="s">
        <v>26</v>
      </c>
      <c r="E58" s="42" t="s">
        <v>27</v>
      </c>
      <c r="F58" s="54">
        <v>39232</v>
      </c>
      <c r="G58" s="54">
        <f t="shared" ref="G58:G63" si="7">F58+H58</f>
        <v>39246</v>
      </c>
      <c r="H58" s="55">
        <v>14</v>
      </c>
      <c r="I58" s="55" t="s">
        <v>0</v>
      </c>
      <c r="J58" s="56" t="s">
        <v>2</v>
      </c>
      <c r="K58" s="57">
        <v>0</v>
      </c>
      <c r="L58" s="56" t="s">
        <v>2</v>
      </c>
      <c r="M58" s="16">
        <v>36590000000</v>
      </c>
      <c r="N58" s="66">
        <v>36732294851</v>
      </c>
      <c r="O58" s="57">
        <v>1</v>
      </c>
      <c r="P58" s="57">
        <v>0.1</v>
      </c>
      <c r="Q58" s="57">
        <v>0.1</v>
      </c>
      <c r="R58" s="66">
        <f>R57-3810000000-24840000000+M58</f>
        <v>166779158152.18997</v>
      </c>
      <c r="S58" s="30">
        <f>S57-3824816709-24922799172+N58</f>
        <v>169927106933</v>
      </c>
      <c r="T58" s="17">
        <f t="shared" si="5"/>
        <v>3659000000</v>
      </c>
      <c r="U58" s="18"/>
      <c r="V58" s="19"/>
      <c r="W58" s="19"/>
      <c r="X58" s="19"/>
    </row>
    <row r="59" spans="1:24" ht="26.25" customHeight="1" x14ac:dyDescent="0.2">
      <c r="A59" s="85"/>
      <c r="B59" s="46">
        <v>54</v>
      </c>
      <c r="C59" s="40" t="s">
        <v>25</v>
      </c>
      <c r="D59" s="41" t="s">
        <v>26</v>
      </c>
      <c r="E59" s="42" t="s">
        <v>27</v>
      </c>
      <c r="F59" s="54">
        <v>39234</v>
      </c>
      <c r="G59" s="54">
        <f t="shared" si="7"/>
        <v>39248</v>
      </c>
      <c r="H59" s="55">
        <v>14</v>
      </c>
      <c r="I59" s="55" t="s">
        <v>0</v>
      </c>
      <c r="J59" s="56" t="s">
        <v>2</v>
      </c>
      <c r="K59" s="57">
        <v>0</v>
      </c>
      <c r="L59" s="56" t="s">
        <v>2</v>
      </c>
      <c r="M59" s="16">
        <v>22635000000</v>
      </c>
      <c r="N59" s="16">
        <v>22718622744</v>
      </c>
      <c r="O59" s="57">
        <v>1</v>
      </c>
      <c r="P59" s="57">
        <v>9.5000000000000001E-2</v>
      </c>
      <c r="Q59" s="57">
        <v>9.5000000000000001E-2</v>
      </c>
      <c r="R59" s="16">
        <f>R58-27970000000+M59</f>
        <v>161444158152.18997</v>
      </c>
      <c r="S59" s="16">
        <f>S58-28078772533+N59</f>
        <v>164566957144</v>
      </c>
      <c r="T59" s="17">
        <f t="shared" si="5"/>
        <v>2150325000</v>
      </c>
      <c r="U59" s="18"/>
      <c r="V59" s="19"/>
      <c r="W59" s="19"/>
      <c r="X59" s="19"/>
    </row>
    <row r="60" spans="1:24" ht="26.25" customHeight="1" x14ac:dyDescent="0.2">
      <c r="A60" s="85"/>
      <c r="B60" s="46">
        <v>55</v>
      </c>
      <c r="C60" s="40" t="s">
        <v>25</v>
      </c>
      <c r="D60" s="41" t="s">
        <v>26</v>
      </c>
      <c r="E60" s="42" t="s">
        <v>27</v>
      </c>
      <c r="F60" s="54">
        <v>39239</v>
      </c>
      <c r="G60" s="54">
        <f t="shared" si="7"/>
        <v>39253</v>
      </c>
      <c r="H60" s="55">
        <v>14</v>
      </c>
      <c r="I60" s="55" t="s">
        <v>0</v>
      </c>
      <c r="J60" s="56" t="s">
        <v>2</v>
      </c>
      <c r="K60" s="57">
        <v>0</v>
      </c>
      <c r="L60" s="56" t="s">
        <v>2</v>
      </c>
      <c r="M60" s="16">
        <v>25575000000</v>
      </c>
      <c r="N60" s="16">
        <v>25669484280</v>
      </c>
      <c r="O60" s="57">
        <v>1</v>
      </c>
      <c r="P60" s="57">
        <v>9.5000000000000001E-2</v>
      </c>
      <c r="Q60" s="57">
        <v>9.5000000000000001E-2</v>
      </c>
      <c r="R60" s="16">
        <f>R59-31070000000+M60</f>
        <v>155949158152.18997</v>
      </c>
      <c r="S60" s="16">
        <f>S59-31190828123+N60</f>
        <v>159045613301</v>
      </c>
      <c r="T60" s="17">
        <f t="shared" si="5"/>
        <v>2429625000</v>
      </c>
      <c r="U60" s="18"/>
      <c r="V60" s="19"/>
      <c r="W60" s="19"/>
      <c r="X60" s="19"/>
    </row>
    <row r="61" spans="1:24" ht="26.25" customHeight="1" x14ac:dyDescent="0.2">
      <c r="A61" s="85"/>
      <c r="B61" s="46">
        <v>56</v>
      </c>
      <c r="C61" s="40" t="s">
        <v>25</v>
      </c>
      <c r="D61" s="41" t="s">
        <v>26</v>
      </c>
      <c r="E61" s="42" t="s">
        <v>27</v>
      </c>
      <c r="F61" s="54">
        <v>39241</v>
      </c>
      <c r="G61" s="54">
        <f t="shared" si="7"/>
        <v>39255</v>
      </c>
      <c r="H61" s="55">
        <v>14</v>
      </c>
      <c r="I61" s="55" t="s">
        <v>0</v>
      </c>
      <c r="J61" s="56" t="s">
        <v>2</v>
      </c>
      <c r="K61" s="57">
        <v>0</v>
      </c>
      <c r="L61" s="56" t="s">
        <v>2</v>
      </c>
      <c r="M61" s="16">
        <v>32150000000</v>
      </c>
      <c r="N61" s="16">
        <v>32268774960</v>
      </c>
      <c r="O61" s="57">
        <v>1</v>
      </c>
      <c r="P61" s="57">
        <v>9.5000000000000001E-2</v>
      </c>
      <c r="Q61" s="57">
        <v>9.5000000000000001E-2</v>
      </c>
      <c r="R61" s="16">
        <f>R60-28340000000+M61</f>
        <v>159759158152.18997</v>
      </c>
      <c r="S61" s="16">
        <f>S60-28450211426+N61</f>
        <v>162864176835</v>
      </c>
      <c r="T61" s="17">
        <f t="shared" si="5"/>
        <v>3054250000</v>
      </c>
      <c r="U61" s="18"/>
      <c r="V61" s="19"/>
      <c r="W61" s="19"/>
      <c r="X61" s="19"/>
    </row>
    <row r="62" spans="1:24" ht="26.25" customHeight="1" x14ac:dyDescent="0.2">
      <c r="A62" s="85"/>
      <c r="B62" s="46">
        <v>57</v>
      </c>
      <c r="C62" s="40" t="s">
        <v>25</v>
      </c>
      <c r="D62" s="41" t="s">
        <v>26</v>
      </c>
      <c r="E62" s="42" t="s">
        <v>27</v>
      </c>
      <c r="F62" s="54">
        <v>39246</v>
      </c>
      <c r="G62" s="54">
        <f t="shared" si="7"/>
        <v>39260</v>
      </c>
      <c r="H62" s="55">
        <v>14</v>
      </c>
      <c r="I62" s="55" t="s">
        <v>0</v>
      </c>
      <c r="J62" s="56" t="s">
        <v>2</v>
      </c>
      <c r="K62" s="57">
        <v>0</v>
      </c>
      <c r="L62" s="56" t="s">
        <v>2</v>
      </c>
      <c r="M62" s="16">
        <v>36070000000</v>
      </c>
      <c r="N62" s="16">
        <v>36203257008</v>
      </c>
      <c r="O62" s="57">
        <v>1</v>
      </c>
      <c r="P62" s="57">
        <v>9.5000000000000001E-2</v>
      </c>
      <c r="Q62" s="57">
        <v>9.5000000000000001E-2</v>
      </c>
      <c r="R62" s="16">
        <f>159759158152.19-M58+36070000000</f>
        <v>159239158152.19</v>
      </c>
      <c r="S62" s="16">
        <f>162864176835-N58+36203257008</f>
        <v>162335138992</v>
      </c>
      <c r="T62" s="17">
        <f t="shared" si="5"/>
        <v>3426650000</v>
      </c>
      <c r="U62" s="18"/>
      <c r="V62" s="19"/>
      <c r="W62" s="19"/>
      <c r="X62" s="19"/>
    </row>
    <row r="63" spans="1:24" ht="26.25" customHeight="1" x14ac:dyDescent="0.2">
      <c r="A63" s="85"/>
      <c r="B63" s="46">
        <v>58</v>
      </c>
      <c r="C63" s="40" t="s">
        <v>25</v>
      </c>
      <c r="D63" s="41" t="s">
        <v>26</v>
      </c>
      <c r="E63" s="42" t="s">
        <v>27</v>
      </c>
      <c r="F63" s="54">
        <v>39248</v>
      </c>
      <c r="G63" s="54">
        <f t="shared" si="7"/>
        <v>39262</v>
      </c>
      <c r="H63" s="55">
        <v>14</v>
      </c>
      <c r="I63" s="55" t="s">
        <v>0</v>
      </c>
      <c r="J63" s="56" t="s">
        <v>2</v>
      </c>
      <c r="K63" s="57">
        <v>0</v>
      </c>
      <c r="L63" s="56" t="s">
        <v>2</v>
      </c>
      <c r="M63" s="16">
        <v>25385000000</v>
      </c>
      <c r="N63" s="16">
        <v>25478782344</v>
      </c>
      <c r="O63" s="57">
        <v>1</v>
      </c>
      <c r="P63" s="57">
        <v>9.5000000000000001E-2</v>
      </c>
      <c r="Q63" s="57">
        <v>9.5000000000000001E-2</v>
      </c>
      <c r="R63" s="16">
        <f>159239158152.19-M59+25385000000</f>
        <v>161989158152.19</v>
      </c>
      <c r="S63" s="16">
        <f>162335138992-N59+25478782344</f>
        <v>165095298592</v>
      </c>
      <c r="T63" s="17">
        <f t="shared" si="5"/>
        <v>2411575000</v>
      </c>
      <c r="U63" s="18"/>
      <c r="V63" s="19"/>
      <c r="W63" s="19"/>
      <c r="X63" s="19"/>
    </row>
    <row r="64" spans="1:24" ht="26.25" customHeight="1" x14ac:dyDescent="0.2">
      <c r="A64" s="85"/>
      <c r="B64" s="46">
        <v>59</v>
      </c>
      <c r="C64" s="40" t="s">
        <v>29</v>
      </c>
      <c r="D64" s="41" t="s">
        <v>28</v>
      </c>
      <c r="E64" s="42" t="s">
        <v>30</v>
      </c>
      <c r="F64" s="54">
        <v>39251</v>
      </c>
      <c r="G64" s="54">
        <f t="shared" ref="G64:G69" si="8">+F64+H64</f>
        <v>39426</v>
      </c>
      <c r="H64" s="55">
        <v>175</v>
      </c>
      <c r="I64" s="55" t="s">
        <v>0</v>
      </c>
      <c r="J64" s="56">
        <v>1500000000</v>
      </c>
      <c r="K64" s="57">
        <v>0</v>
      </c>
      <c r="L64" s="56">
        <v>1500000000</v>
      </c>
      <c r="M64" s="16">
        <v>1432114720</v>
      </c>
      <c r="N64" s="16">
        <v>1500000000</v>
      </c>
      <c r="O64" s="57">
        <v>1</v>
      </c>
      <c r="P64" s="57">
        <v>9.8900000000000002E-2</v>
      </c>
      <c r="Q64" s="57">
        <v>9.7500000000000003E-2</v>
      </c>
      <c r="R64" s="16">
        <f>161989158152.19-4207142965+1432114720</f>
        <v>159214129907.19</v>
      </c>
      <c r="S64" s="16">
        <f>165095298592-4500000000+1500000000</f>
        <v>162095298592</v>
      </c>
      <c r="T64" s="17">
        <f t="shared" si="5"/>
        <v>139631185.20000002</v>
      </c>
      <c r="U64" s="18"/>
      <c r="V64" s="19"/>
      <c r="W64" s="19"/>
      <c r="X64" s="19"/>
    </row>
    <row r="65" spans="1:24" ht="26.25" customHeight="1" x14ac:dyDescent="0.2">
      <c r="A65" s="85"/>
      <c r="B65" s="46">
        <v>60</v>
      </c>
      <c r="C65" s="40" t="s">
        <v>25</v>
      </c>
      <c r="D65" s="41" t="s">
        <v>26</v>
      </c>
      <c r="E65" s="42" t="s">
        <v>27</v>
      </c>
      <c r="F65" s="54">
        <v>39253</v>
      </c>
      <c r="G65" s="54">
        <f t="shared" si="8"/>
        <v>39267</v>
      </c>
      <c r="H65" s="55">
        <v>14</v>
      </c>
      <c r="I65" s="55" t="s">
        <v>0</v>
      </c>
      <c r="J65" s="56" t="s">
        <v>2</v>
      </c>
      <c r="K65" s="57">
        <v>0</v>
      </c>
      <c r="L65" s="56" t="s">
        <v>2</v>
      </c>
      <c r="M65" s="16">
        <v>22985000000</v>
      </c>
      <c r="N65" s="16">
        <v>23069915784</v>
      </c>
      <c r="O65" s="57">
        <v>1</v>
      </c>
      <c r="P65" s="57">
        <v>9.5000000000000001E-2</v>
      </c>
      <c r="Q65" s="57">
        <v>9.5000000000000001E-2</v>
      </c>
      <c r="R65" s="16">
        <f>159214129907.19-M60+22985000000</f>
        <v>156624129907.19</v>
      </c>
      <c r="S65" s="16">
        <f>162095298592-N60+23069915784</f>
        <v>159495730096</v>
      </c>
      <c r="T65" s="17">
        <f t="shared" si="5"/>
        <v>2183575000</v>
      </c>
      <c r="U65" s="18"/>
      <c r="V65" s="19"/>
      <c r="W65" s="19"/>
      <c r="X65" s="19"/>
    </row>
    <row r="66" spans="1:24" ht="26.25" customHeight="1" x14ac:dyDescent="0.2">
      <c r="A66" s="85"/>
      <c r="B66" s="46">
        <v>61</v>
      </c>
      <c r="C66" s="40" t="s">
        <v>25</v>
      </c>
      <c r="D66" s="41" t="s">
        <v>26</v>
      </c>
      <c r="E66" s="42" t="s">
        <v>27</v>
      </c>
      <c r="F66" s="54">
        <v>39255</v>
      </c>
      <c r="G66" s="54">
        <f t="shared" si="8"/>
        <v>39269</v>
      </c>
      <c r="H66" s="55">
        <v>14</v>
      </c>
      <c r="I66" s="55" t="s">
        <v>0</v>
      </c>
      <c r="J66" s="56" t="s">
        <v>2</v>
      </c>
      <c r="K66" s="57">
        <v>0</v>
      </c>
      <c r="L66" s="56" t="s">
        <v>2</v>
      </c>
      <c r="M66" s="16">
        <v>36600000000</v>
      </c>
      <c r="N66" s="16">
        <v>36735215040</v>
      </c>
      <c r="O66" s="57">
        <v>1</v>
      </c>
      <c r="P66" s="57">
        <v>9.5000000000000001E-2</v>
      </c>
      <c r="Q66" s="57">
        <v>9.5000000000000001E-2</v>
      </c>
      <c r="R66" s="16">
        <f>156624129907.19-M61+36600000000</f>
        <v>161074129907.19</v>
      </c>
      <c r="S66" s="16">
        <f>159495730096-N61+36735215040</f>
        <v>163962170176</v>
      </c>
      <c r="T66" s="17">
        <f t="shared" si="5"/>
        <v>3477000000</v>
      </c>
      <c r="U66" s="18"/>
      <c r="V66" s="19"/>
      <c r="W66" s="19"/>
      <c r="X66" s="19"/>
    </row>
    <row r="67" spans="1:24" ht="26.25" customHeight="1" x14ac:dyDescent="0.2">
      <c r="A67" s="85"/>
      <c r="B67" s="46">
        <v>62</v>
      </c>
      <c r="C67" s="40" t="s">
        <v>25</v>
      </c>
      <c r="D67" s="41" t="s">
        <v>26</v>
      </c>
      <c r="E67" s="42" t="s">
        <v>27</v>
      </c>
      <c r="F67" s="54">
        <v>39260</v>
      </c>
      <c r="G67" s="54">
        <f t="shared" si="8"/>
        <v>39274</v>
      </c>
      <c r="H67" s="55">
        <v>14</v>
      </c>
      <c r="I67" s="55" t="s">
        <v>0</v>
      </c>
      <c r="J67" s="56" t="s">
        <v>2</v>
      </c>
      <c r="K67" s="57">
        <v>0</v>
      </c>
      <c r="L67" s="56" t="s">
        <v>2</v>
      </c>
      <c r="M67" s="16">
        <v>36565000000</v>
      </c>
      <c r="N67" s="16">
        <v>36700085736</v>
      </c>
      <c r="O67" s="57">
        <v>1</v>
      </c>
      <c r="P67" s="57">
        <v>9.5000000000000001E-2</v>
      </c>
      <c r="Q67" s="57">
        <v>9.5000000000000001E-2</v>
      </c>
      <c r="R67" s="16">
        <f>161074129907.19-M62+36565000000</f>
        <v>161569129907.19</v>
      </c>
      <c r="S67" s="16">
        <f>163962170176-N62+36700085736</f>
        <v>164458998904</v>
      </c>
      <c r="T67" s="17">
        <f t="shared" si="5"/>
        <v>3473675000</v>
      </c>
      <c r="U67" s="18"/>
      <c r="V67" s="19"/>
      <c r="W67" s="19"/>
      <c r="X67" s="19"/>
    </row>
    <row r="68" spans="1:24" ht="26.25" customHeight="1" x14ac:dyDescent="0.2">
      <c r="A68" s="85"/>
      <c r="B68" s="46">
        <v>63</v>
      </c>
      <c r="C68" s="40" t="s">
        <v>25</v>
      </c>
      <c r="D68" s="41" t="s">
        <v>26</v>
      </c>
      <c r="E68" s="42" t="s">
        <v>27</v>
      </c>
      <c r="F68" s="54">
        <v>39262</v>
      </c>
      <c r="G68" s="54">
        <f t="shared" si="8"/>
        <v>39276</v>
      </c>
      <c r="H68" s="55">
        <v>14</v>
      </c>
      <c r="I68" s="55" t="s">
        <v>0</v>
      </c>
      <c r="J68" s="56" t="s">
        <v>2</v>
      </c>
      <c r="K68" s="57">
        <v>0</v>
      </c>
      <c r="L68" s="56" t="s">
        <v>2</v>
      </c>
      <c r="M68" s="16">
        <v>12905000000</v>
      </c>
      <c r="N68" s="16">
        <v>12952676232</v>
      </c>
      <c r="O68" s="57">
        <v>1</v>
      </c>
      <c r="P68" s="57">
        <v>9.5000000000000001E-2</v>
      </c>
      <c r="Q68" s="57">
        <v>9.5000000000000001E-2</v>
      </c>
      <c r="R68" s="16">
        <f>161569129907.19-M63+12905000000</f>
        <v>149089129907.19</v>
      </c>
      <c r="S68" s="16">
        <f>164458998904-N63+12952676232</f>
        <v>151932892792</v>
      </c>
      <c r="T68" s="17">
        <f t="shared" si="5"/>
        <v>1225975000</v>
      </c>
      <c r="U68" s="18"/>
      <c r="V68" s="19"/>
      <c r="W68" s="19"/>
      <c r="X68" s="19"/>
    </row>
    <row r="69" spans="1:24" ht="26.25" customHeight="1" x14ac:dyDescent="0.2">
      <c r="A69" s="85"/>
      <c r="B69" s="46">
        <v>64</v>
      </c>
      <c r="C69" s="40" t="s">
        <v>25</v>
      </c>
      <c r="D69" s="41" t="s">
        <v>26</v>
      </c>
      <c r="E69" s="42" t="s">
        <v>27</v>
      </c>
      <c r="F69" s="54">
        <v>39267</v>
      </c>
      <c r="G69" s="54">
        <f t="shared" si="8"/>
        <v>39281</v>
      </c>
      <c r="H69" s="55">
        <v>14</v>
      </c>
      <c r="I69" s="55" t="s">
        <v>0</v>
      </c>
      <c r="J69" s="56" t="s">
        <v>2</v>
      </c>
      <c r="K69" s="57">
        <v>0</v>
      </c>
      <c r="L69" s="56" t="s">
        <v>2</v>
      </c>
      <c r="M69" s="16">
        <v>31845000000</v>
      </c>
      <c r="N69" s="16">
        <v>31962648168</v>
      </c>
      <c r="O69" s="57">
        <v>1</v>
      </c>
      <c r="P69" s="57">
        <v>9.5000000000000001E-2</v>
      </c>
      <c r="Q69" s="57">
        <v>9.5000000000000001E-2</v>
      </c>
      <c r="R69" s="16">
        <f>R68-22985000000+M69</f>
        <v>157949129907.19</v>
      </c>
      <c r="S69" s="16">
        <f>S68-23069915784+N69</f>
        <v>160825625176</v>
      </c>
      <c r="T69" s="17">
        <f t="shared" si="5"/>
        <v>3025275000</v>
      </c>
      <c r="U69" s="18"/>
      <c r="V69" s="19"/>
      <c r="W69" s="19"/>
      <c r="X69" s="19"/>
    </row>
    <row r="70" spans="1:24" ht="26.25" customHeight="1" x14ac:dyDescent="0.2">
      <c r="A70" s="85"/>
      <c r="B70" s="46">
        <v>65</v>
      </c>
      <c r="C70" s="40" t="s">
        <v>25</v>
      </c>
      <c r="D70" s="41" t="s">
        <v>26</v>
      </c>
      <c r="E70" s="42" t="s">
        <v>27</v>
      </c>
      <c r="F70" s="54">
        <v>39269</v>
      </c>
      <c r="G70" s="54">
        <f t="shared" ref="G70:G77" si="9">+F70+H70</f>
        <v>39283</v>
      </c>
      <c r="H70" s="55">
        <v>14</v>
      </c>
      <c r="I70" s="55" t="s">
        <v>0</v>
      </c>
      <c r="J70" s="56" t="s">
        <v>2</v>
      </c>
      <c r="K70" s="57">
        <v>0</v>
      </c>
      <c r="L70" s="56" t="s">
        <v>2</v>
      </c>
      <c r="M70" s="16">
        <v>42560000000</v>
      </c>
      <c r="N70" s="16">
        <v>42717233664</v>
      </c>
      <c r="O70" s="57">
        <v>1</v>
      </c>
      <c r="P70" s="57">
        <v>9.5000000000000001E-2</v>
      </c>
      <c r="Q70" s="57">
        <v>9.5000000000000001E-2</v>
      </c>
      <c r="R70" s="16">
        <f>R69-36600000000+M70</f>
        <v>163909129907.19</v>
      </c>
      <c r="S70" s="16">
        <f>S69-36735215040+N70</f>
        <v>166807643800</v>
      </c>
      <c r="T70" s="17">
        <f t="shared" si="5"/>
        <v>4043200000</v>
      </c>
      <c r="U70" s="18"/>
      <c r="V70" s="19"/>
      <c r="W70" s="19"/>
      <c r="X70" s="19"/>
    </row>
    <row r="71" spans="1:24" ht="26.25" customHeight="1" x14ac:dyDescent="0.2">
      <c r="A71" s="85"/>
      <c r="B71" s="46">
        <v>66</v>
      </c>
      <c r="C71" s="40" t="s">
        <v>25</v>
      </c>
      <c r="D71" s="41" t="s">
        <v>26</v>
      </c>
      <c r="E71" s="42" t="s">
        <v>27</v>
      </c>
      <c r="F71" s="54">
        <v>39274</v>
      </c>
      <c r="G71" s="54">
        <f t="shared" si="9"/>
        <v>39288</v>
      </c>
      <c r="H71" s="55">
        <v>14</v>
      </c>
      <c r="I71" s="55" t="s">
        <v>0</v>
      </c>
      <c r="J71" s="56" t="s">
        <v>2</v>
      </c>
      <c r="K71" s="57">
        <v>0</v>
      </c>
      <c r="L71" s="56" t="s">
        <v>2</v>
      </c>
      <c r="M71" s="16">
        <v>35350000000</v>
      </c>
      <c r="N71" s="16">
        <v>35480597040</v>
      </c>
      <c r="O71" s="57">
        <v>1</v>
      </c>
      <c r="P71" s="57">
        <v>9.5000000000000001E-2</v>
      </c>
      <c r="Q71" s="57">
        <v>9.5000000000000001E-2</v>
      </c>
      <c r="R71" s="16">
        <f>R70-36565000000+M71</f>
        <v>162694129907.19</v>
      </c>
      <c r="S71" s="16">
        <f>S70-36700085736+N71</f>
        <v>165588155104</v>
      </c>
      <c r="T71" s="17">
        <f t="shared" si="5"/>
        <v>3358250000</v>
      </c>
      <c r="U71" s="18"/>
      <c r="V71" s="19"/>
      <c r="W71" s="19"/>
      <c r="X71" s="19"/>
    </row>
    <row r="72" spans="1:24" ht="26.25" customHeight="1" x14ac:dyDescent="0.2">
      <c r="A72" s="85"/>
      <c r="B72" s="46">
        <v>67</v>
      </c>
      <c r="C72" s="40" t="s">
        <v>25</v>
      </c>
      <c r="D72" s="41" t="s">
        <v>26</v>
      </c>
      <c r="E72" s="42" t="s">
        <v>27</v>
      </c>
      <c r="F72" s="54">
        <v>39276</v>
      </c>
      <c r="G72" s="54">
        <f t="shared" si="9"/>
        <v>39290</v>
      </c>
      <c r="H72" s="55">
        <v>14</v>
      </c>
      <c r="I72" s="55" t="s">
        <v>0</v>
      </c>
      <c r="J72" s="56" t="s">
        <v>2</v>
      </c>
      <c r="K72" s="57">
        <v>0</v>
      </c>
      <c r="L72" s="56" t="s">
        <v>2</v>
      </c>
      <c r="M72" s="16">
        <v>15570000000</v>
      </c>
      <c r="N72" s="16">
        <v>15627521808</v>
      </c>
      <c r="O72" s="57">
        <v>1</v>
      </c>
      <c r="P72" s="57">
        <v>9.5000000000000001E-2</v>
      </c>
      <c r="Q72" s="57">
        <v>9.5000000000000001E-2</v>
      </c>
      <c r="R72" s="16">
        <f>R71-12905000000+M72</f>
        <v>165359129907.19</v>
      </c>
      <c r="S72" s="16">
        <f>S71-12952676232+N72</f>
        <v>168263000680</v>
      </c>
      <c r="T72" s="17">
        <f t="shared" si="5"/>
        <v>1479150000</v>
      </c>
      <c r="U72" s="18"/>
      <c r="V72" s="19"/>
      <c r="W72" s="19"/>
      <c r="X72" s="19"/>
    </row>
    <row r="73" spans="1:24" ht="26.25" customHeight="1" x14ac:dyDescent="0.2">
      <c r="A73" s="85"/>
      <c r="B73" s="46">
        <v>68</v>
      </c>
      <c r="C73" s="40" t="s">
        <v>25</v>
      </c>
      <c r="D73" s="41" t="s">
        <v>26</v>
      </c>
      <c r="E73" s="42" t="s">
        <v>27</v>
      </c>
      <c r="F73" s="54">
        <v>39281</v>
      </c>
      <c r="G73" s="54">
        <f t="shared" si="9"/>
        <v>39295</v>
      </c>
      <c r="H73" s="55">
        <v>14</v>
      </c>
      <c r="I73" s="55" t="s">
        <v>0</v>
      </c>
      <c r="J73" s="56" t="s">
        <v>2</v>
      </c>
      <c r="K73" s="57">
        <v>0</v>
      </c>
      <c r="L73" s="56" t="s">
        <v>2</v>
      </c>
      <c r="M73" s="16">
        <v>29850000000</v>
      </c>
      <c r="N73" s="16">
        <v>29960277840</v>
      </c>
      <c r="O73" s="57">
        <v>1</v>
      </c>
      <c r="P73" s="57">
        <v>9.5000000000000001E-2</v>
      </c>
      <c r="Q73" s="57">
        <v>9.5000000000000001E-2</v>
      </c>
      <c r="R73" s="16">
        <f>R72-31845000000-4524784248.5+M73</f>
        <v>158839345658.69</v>
      </c>
      <c r="S73" s="16">
        <f>S72-4835000000-31962648168+N73</f>
        <v>161425630352</v>
      </c>
      <c r="T73" s="17">
        <f t="shared" si="5"/>
        <v>2835750000</v>
      </c>
      <c r="U73" s="18"/>
      <c r="V73" s="19"/>
      <c r="W73" s="19"/>
      <c r="X73" s="19"/>
    </row>
    <row r="74" spans="1:24" ht="26.25" customHeight="1" x14ac:dyDescent="0.2">
      <c r="A74" s="85"/>
      <c r="B74" s="46">
        <v>69</v>
      </c>
      <c r="C74" s="40" t="s">
        <v>25</v>
      </c>
      <c r="D74" s="41" t="s">
        <v>26</v>
      </c>
      <c r="E74" s="42" t="s">
        <v>27</v>
      </c>
      <c r="F74" s="54">
        <v>39283</v>
      </c>
      <c r="G74" s="54">
        <f t="shared" si="9"/>
        <v>39297</v>
      </c>
      <c r="H74" s="55">
        <v>14</v>
      </c>
      <c r="I74" s="55" t="s">
        <v>0</v>
      </c>
      <c r="J74" s="56" t="s">
        <v>2</v>
      </c>
      <c r="K74" s="57">
        <v>0</v>
      </c>
      <c r="L74" s="56" t="s">
        <v>2</v>
      </c>
      <c r="M74" s="16">
        <v>44980000000</v>
      </c>
      <c r="N74" s="16">
        <v>45146174112</v>
      </c>
      <c r="O74" s="57">
        <v>1</v>
      </c>
      <c r="P74" s="57">
        <v>9.5000000000000001E-2</v>
      </c>
      <c r="Q74" s="57">
        <v>9.5000000000000001E-2</v>
      </c>
      <c r="R74" s="16">
        <f>R73-42560000000+M74</f>
        <v>161259345658.69</v>
      </c>
      <c r="S74" s="16">
        <f>S73-42717233664+N74</f>
        <v>163854570800</v>
      </c>
      <c r="T74" s="17">
        <f t="shared" si="5"/>
        <v>4273100000</v>
      </c>
      <c r="U74" s="18"/>
      <c r="V74" s="19"/>
      <c r="W74" s="19"/>
      <c r="X74" s="19"/>
    </row>
    <row r="75" spans="1:24" ht="26.25" customHeight="1" x14ac:dyDescent="0.2">
      <c r="A75" s="85"/>
      <c r="B75" s="46">
        <v>70</v>
      </c>
      <c r="C75" s="40" t="s">
        <v>25</v>
      </c>
      <c r="D75" s="41" t="s">
        <v>26</v>
      </c>
      <c r="E75" s="42" t="s">
        <v>27</v>
      </c>
      <c r="F75" s="54">
        <v>39288</v>
      </c>
      <c r="G75" s="54">
        <f t="shared" si="9"/>
        <v>39302</v>
      </c>
      <c r="H75" s="55">
        <v>14</v>
      </c>
      <c r="I75" s="55" t="s">
        <v>0</v>
      </c>
      <c r="J75" s="56" t="s">
        <v>2</v>
      </c>
      <c r="K75" s="57">
        <v>0</v>
      </c>
      <c r="L75" s="56" t="s">
        <v>2</v>
      </c>
      <c r="M75" s="16">
        <v>38995000000</v>
      </c>
      <c r="N75" s="16">
        <v>39139063128</v>
      </c>
      <c r="O75" s="57">
        <v>1</v>
      </c>
      <c r="P75" s="57">
        <v>9.5000000000000001E-2</v>
      </c>
      <c r="Q75" s="57">
        <v>9.5000000000000001E-2</v>
      </c>
      <c r="R75" s="16">
        <f>161259345658.69-M71+38995000000</f>
        <v>164904345658.69</v>
      </c>
      <c r="S75" s="16">
        <f>163854570800-N71+39139063128</f>
        <v>167513036888</v>
      </c>
      <c r="T75" s="17">
        <f t="shared" si="5"/>
        <v>3704525000</v>
      </c>
      <c r="U75" s="18"/>
      <c r="V75" s="19"/>
      <c r="W75" s="19"/>
      <c r="X75" s="19"/>
    </row>
    <row r="76" spans="1:24" ht="26.25" customHeight="1" x14ac:dyDescent="0.2">
      <c r="A76" s="85"/>
      <c r="B76" s="46">
        <v>71</v>
      </c>
      <c r="C76" s="40" t="s">
        <v>25</v>
      </c>
      <c r="D76" s="41" t="s">
        <v>26</v>
      </c>
      <c r="E76" s="42" t="s">
        <v>27</v>
      </c>
      <c r="F76" s="54">
        <v>39290</v>
      </c>
      <c r="G76" s="54">
        <f t="shared" si="9"/>
        <v>39304</v>
      </c>
      <c r="H76" s="55">
        <v>14</v>
      </c>
      <c r="I76" s="55" t="s">
        <v>0</v>
      </c>
      <c r="J76" s="56" t="s">
        <v>2</v>
      </c>
      <c r="K76" s="57">
        <v>0</v>
      </c>
      <c r="L76" s="56" t="s">
        <v>2</v>
      </c>
      <c r="M76" s="16">
        <v>23075000000</v>
      </c>
      <c r="N76" s="16">
        <v>23160248280</v>
      </c>
      <c r="O76" s="57">
        <v>1</v>
      </c>
      <c r="P76" s="57">
        <v>9.5000000000000001E-2</v>
      </c>
      <c r="Q76" s="57">
        <v>9.5000000000000001E-2</v>
      </c>
      <c r="R76" s="16">
        <f>R75-15570000000+M76</f>
        <v>172409345658.69</v>
      </c>
      <c r="S76" s="16">
        <f>S75-15627521808+N76</f>
        <v>175045763360</v>
      </c>
      <c r="T76" s="17">
        <f t="shared" si="5"/>
        <v>2192125000</v>
      </c>
      <c r="U76" s="18"/>
      <c r="V76" s="19"/>
      <c r="W76" s="19"/>
      <c r="X76" s="19"/>
    </row>
    <row r="77" spans="1:24" ht="26.25" customHeight="1" x14ac:dyDescent="0.2">
      <c r="A77" s="85"/>
      <c r="B77" s="46">
        <v>72</v>
      </c>
      <c r="C77" s="40" t="s">
        <v>29</v>
      </c>
      <c r="D77" s="41" t="s">
        <v>28</v>
      </c>
      <c r="E77" s="42" t="s">
        <v>30</v>
      </c>
      <c r="F77" s="54">
        <v>39293</v>
      </c>
      <c r="G77" s="54">
        <f t="shared" si="9"/>
        <v>39475</v>
      </c>
      <c r="H77" s="55">
        <v>182</v>
      </c>
      <c r="I77" s="55" t="s">
        <v>0</v>
      </c>
      <c r="J77" s="56">
        <v>1500000000</v>
      </c>
      <c r="K77" s="57">
        <v>0</v>
      </c>
      <c r="L77" s="56">
        <v>1500000000</v>
      </c>
      <c r="M77" s="16">
        <v>1429251600</v>
      </c>
      <c r="N77" s="16">
        <v>1500000000</v>
      </c>
      <c r="O77" s="57">
        <v>1</v>
      </c>
      <c r="P77" s="57">
        <v>9.9400000000000002E-2</v>
      </c>
      <c r="Q77" s="57">
        <v>9.7900000000000001E-2</v>
      </c>
      <c r="R77" s="16">
        <f>172409345658.69-M14+1429251600</f>
        <v>169163950556.89001</v>
      </c>
      <c r="S77" s="16">
        <f>175045763360-N14+1500000000</f>
        <v>171545763360</v>
      </c>
      <c r="T77" s="17">
        <f t="shared" si="5"/>
        <v>139923731.64000002</v>
      </c>
      <c r="U77" s="18"/>
      <c r="V77" s="19"/>
      <c r="W77" s="19"/>
      <c r="X77" s="19"/>
    </row>
    <row r="78" spans="1:24" ht="26.25" customHeight="1" x14ac:dyDescent="0.2">
      <c r="A78" s="85"/>
      <c r="B78" s="46">
        <v>73</v>
      </c>
      <c r="C78" s="40" t="s">
        <v>25</v>
      </c>
      <c r="D78" s="41" t="s">
        <v>26</v>
      </c>
      <c r="E78" s="42" t="s">
        <v>27</v>
      </c>
      <c r="F78" s="54">
        <v>39295</v>
      </c>
      <c r="G78" s="54">
        <f t="shared" ref="G78:G83" si="10">+F78+H78</f>
        <v>39309</v>
      </c>
      <c r="H78" s="55">
        <v>14</v>
      </c>
      <c r="I78" s="55" t="s">
        <v>0</v>
      </c>
      <c r="J78" s="56" t="s">
        <v>2</v>
      </c>
      <c r="K78" s="57">
        <v>0</v>
      </c>
      <c r="L78" s="56" t="s">
        <v>2</v>
      </c>
      <c r="M78" s="16">
        <v>31070000000</v>
      </c>
      <c r="N78" s="16">
        <v>31184785008</v>
      </c>
      <c r="O78" s="57">
        <v>1</v>
      </c>
      <c r="P78" s="57">
        <v>9.5000000000000001E-2</v>
      </c>
      <c r="Q78" s="57">
        <v>9.5000000000000001E-2</v>
      </c>
      <c r="R78" s="16">
        <f>169163950556.89-M73+31070000000</f>
        <v>170383950556.89001</v>
      </c>
      <c r="S78" s="16">
        <f>171545763360-N73+31184785008</f>
        <v>172770270528</v>
      </c>
      <c r="T78" s="17">
        <f t="shared" si="5"/>
        <v>2951650000</v>
      </c>
      <c r="U78" s="18"/>
      <c r="V78" s="19"/>
      <c r="W78" s="19"/>
      <c r="X78" s="19"/>
    </row>
    <row r="79" spans="1:24" ht="26.25" customHeight="1" x14ac:dyDescent="0.2">
      <c r="A79" s="85"/>
      <c r="B79" s="46">
        <v>74</v>
      </c>
      <c r="C79" s="40" t="s">
        <v>25</v>
      </c>
      <c r="D79" s="41" t="s">
        <v>26</v>
      </c>
      <c r="E79" s="42" t="s">
        <v>27</v>
      </c>
      <c r="F79" s="54">
        <v>39297</v>
      </c>
      <c r="G79" s="54">
        <f t="shared" si="10"/>
        <v>39311</v>
      </c>
      <c r="H79" s="55">
        <v>14</v>
      </c>
      <c r="I79" s="55" t="s">
        <v>0</v>
      </c>
      <c r="J79" s="56" t="s">
        <v>2</v>
      </c>
      <c r="K79" s="57">
        <v>0</v>
      </c>
      <c r="L79" s="56" t="s">
        <v>2</v>
      </c>
      <c r="M79" s="16">
        <v>45810000000</v>
      </c>
      <c r="N79" s="16">
        <v>45979240464</v>
      </c>
      <c r="O79" s="57">
        <v>1</v>
      </c>
      <c r="P79" s="57">
        <v>9.5000000000000001E-2</v>
      </c>
      <c r="Q79" s="57">
        <v>9.5000000000000001E-2</v>
      </c>
      <c r="R79" s="16">
        <f>170383950556.89-M74+45810000000</f>
        <v>171213950556.89001</v>
      </c>
      <c r="S79" s="16">
        <f>172770270528-N74+45979240464</f>
        <v>173603336880</v>
      </c>
      <c r="T79" s="17">
        <f t="shared" si="5"/>
        <v>4351950000</v>
      </c>
      <c r="U79" s="18"/>
      <c r="V79" s="19"/>
      <c r="W79" s="19"/>
      <c r="X79" s="19"/>
    </row>
    <row r="80" spans="1:24" ht="26.25" customHeight="1" x14ac:dyDescent="0.2">
      <c r="A80" s="85"/>
      <c r="B80" s="46">
        <v>75</v>
      </c>
      <c r="C80" s="40" t="s">
        <v>25</v>
      </c>
      <c r="D80" s="41" t="s">
        <v>26</v>
      </c>
      <c r="E80" s="42" t="s">
        <v>27</v>
      </c>
      <c r="F80" s="54">
        <v>39302</v>
      </c>
      <c r="G80" s="54">
        <f t="shared" si="10"/>
        <v>39316</v>
      </c>
      <c r="H80" s="55">
        <v>14</v>
      </c>
      <c r="I80" s="55" t="s">
        <v>0</v>
      </c>
      <c r="J80" s="56" t="s">
        <v>2</v>
      </c>
      <c r="K80" s="57">
        <v>0</v>
      </c>
      <c r="L80" s="56" t="s">
        <v>2</v>
      </c>
      <c r="M80" s="16">
        <v>39450000000</v>
      </c>
      <c r="N80" s="16">
        <v>39595744080</v>
      </c>
      <c r="O80" s="57">
        <v>1</v>
      </c>
      <c r="P80" s="57">
        <v>9.5000000000000001E-2</v>
      </c>
      <c r="Q80" s="57">
        <v>9.5000000000000001E-2</v>
      </c>
      <c r="R80" s="16">
        <f>171213950556.89-M75+39450000000</f>
        <v>171668950556.89001</v>
      </c>
      <c r="S80" s="16">
        <f>173603336880-N75+N80</f>
        <v>174060017832</v>
      </c>
      <c r="T80" s="17">
        <f t="shared" si="5"/>
        <v>3747750000</v>
      </c>
      <c r="U80" s="18"/>
      <c r="V80" s="19"/>
      <c r="W80" s="19"/>
      <c r="X80" s="19"/>
    </row>
    <row r="81" spans="1:24" ht="26.25" customHeight="1" x14ac:dyDescent="0.2">
      <c r="A81" s="85"/>
      <c r="B81" s="46">
        <v>76</v>
      </c>
      <c r="C81" s="40" t="s">
        <v>25</v>
      </c>
      <c r="D81" s="41" t="s">
        <v>26</v>
      </c>
      <c r="E81" s="42" t="s">
        <v>27</v>
      </c>
      <c r="F81" s="54">
        <v>39304</v>
      </c>
      <c r="G81" s="54">
        <f t="shared" si="10"/>
        <v>39318</v>
      </c>
      <c r="H81" s="55">
        <v>14</v>
      </c>
      <c r="I81" s="55" t="s">
        <v>0</v>
      </c>
      <c r="J81" s="56" t="s">
        <v>2</v>
      </c>
      <c r="K81" s="57">
        <v>0</v>
      </c>
      <c r="L81" s="56" t="s">
        <v>2</v>
      </c>
      <c r="M81" s="16">
        <v>26475000000</v>
      </c>
      <c r="N81" s="16">
        <v>26572809240</v>
      </c>
      <c r="O81" s="57">
        <v>1</v>
      </c>
      <c r="P81" s="57">
        <v>9.5000000000000001E-2</v>
      </c>
      <c r="Q81" s="57">
        <v>9.5000000000000001E-2</v>
      </c>
      <c r="R81" s="16">
        <f>171668950556.89-M76+26475000000</f>
        <v>175068950556.89001</v>
      </c>
      <c r="S81" s="16">
        <f>S80-N76+26572809240</f>
        <v>177472578792</v>
      </c>
      <c r="T81" s="17">
        <f t="shared" si="5"/>
        <v>2515125000</v>
      </c>
      <c r="U81" s="18"/>
      <c r="V81" s="19"/>
      <c r="W81" s="19"/>
      <c r="X81" s="19"/>
    </row>
    <row r="82" spans="1:24" ht="26.25" customHeight="1" x14ac:dyDescent="0.2">
      <c r="A82" s="85"/>
      <c r="B82" s="46">
        <v>77</v>
      </c>
      <c r="C82" s="40" t="s">
        <v>25</v>
      </c>
      <c r="D82" s="41" t="s">
        <v>26</v>
      </c>
      <c r="E82" s="42" t="s">
        <v>27</v>
      </c>
      <c r="F82" s="54">
        <v>39309</v>
      </c>
      <c r="G82" s="54">
        <f t="shared" si="10"/>
        <v>39323</v>
      </c>
      <c r="H82" s="55">
        <v>14</v>
      </c>
      <c r="I82" s="55" t="s">
        <v>0</v>
      </c>
      <c r="J82" s="56" t="s">
        <v>2</v>
      </c>
      <c r="K82" s="57">
        <v>0</v>
      </c>
      <c r="L82" s="56" t="s">
        <v>2</v>
      </c>
      <c r="M82" s="16">
        <v>31815000000</v>
      </c>
      <c r="N82" s="16">
        <v>31932537336</v>
      </c>
      <c r="O82" s="57">
        <v>1</v>
      </c>
      <c r="P82" s="57">
        <v>9.5000000000000001E-2</v>
      </c>
      <c r="Q82" s="57">
        <v>9.5000000000000001E-2</v>
      </c>
      <c r="R82" s="16">
        <f>R81-M19-M78+M82</f>
        <v>171120742269.89001</v>
      </c>
      <c r="S82" s="16">
        <f>S81-N19-N78+N82</f>
        <v>173220331120</v>
      </c>
      <c r="T82" s="17">
        <f t="shared" ref="T82:T90" si="11">Q82*M82</f>
        <v>3022425000</v>
      </c>
      <c r="U82" s="18"/>
      <c r="V82" s="19"/>
      <c r="W82" s="19"/>
      <c r="X82" s="19"/>
    </row>
    <row r="83" spans="1:24" ht="26.25" customHeight="1" x14ac:dyDescent="0.2">
      <c r="A83" s="85"/>
      <c r="B83" s="46">
        <v>78</v>
      </c>
      <c r="C83" s="40" t="s">
        <v>25</v>
      </c>
      <c r="D83" s="41" t="s">
        <v>26</v>
      </c>
      <c r="E83" s="42" t="s">
        <v>27</v>
      </c>
      <c r="F83" s="54">
        <v>39311</v>
      </c>
      <c r="G83" s="54">
        <f t="shared" si="10"/>
        <v>39325</v>
      </c>
      <c r="H83" s="55">
        <v>14</v>
      </c>
      <c r="I83" s="55" t="s">
        <v>0</v>
      </c>
      <c r="J83" s="56" t="s">
        <v>2</v>
      </c>
      <c r="K83" s="57">
        <v>0</v>
      </c>
      <c r="L83" s="56" t="s">
        <v>2</v>
      </c>
      <c r="M83" s="16">
        <v>40200000000</v>
      </c>
      <c r="N83" s="16">
        <v>40348514880</v>
      </c>
      <c r="O83" s="57">
        <v>1</v>
      </c>
      <c r="P83" s="57">
        <v>9.5000000000000001E-2</v>
      </c>
      <c r="Q83" s="57">
        <v>9.5000000000000001E-2</v>
      </c>
      <c r="R83" s="16">
        <f>R82-M79+M83</f>
        <v>165510742269.89001</v>
      </c>
      <c r="S83" s="16">
        <f>S82-N79+N83</f>
        <v>167589605536</v>
      </c>
      <c r="T83" s="17">
        <f t="shared" si="11"/>
        <v>3819000000</v>
      </c>
      <c r="U83" s="18"/>
      <c r="V83" s="19"/>
      <c r="W83" s="19"/>
      <c r="X83" s="19"/>
    </row>
    <row r="84" spans="1:24" ht="26.25" customHeight="1" x14ac:dyDescent="0.2">
      <c r="A84" s="85"/>
      <c r="B84" s="46">
        <v>79</v>
      </c>
      <c r="C84" s="40" t="s">
        <v>25</v>
      </c>
      <c r="D84" s="41" t="s">
        <v>26</v>
      </c>
      <c r="E84" s="42" t="s">
        <v>27</v>
      </c>
      <c r="F84" s="54">
        <v>39316</v>
      </c>
      <c r="G84" s="54">
        <f t="shared" ref="G84:G89" si="12">+F84+H84</f>
        <v>39330</v>
      </c>
      <c r="H84" s="55">
        <v>14</v>
      </c>
      <c r="I84" s="55" t="s">
        <v>0</v>
      </c>
      <c r="J84" s="56" t="s">
        <v>2</v>
      </c>
      <c r="K84" s="57">
        <v>0</v>
      </c>
      <c r="L84" s="56" t="s">
        <v>2</v>
      </c>
      <c r="M84" s="16">
        <v>47810000000</v>
      </c>
      <c r="N84" s="16">
        <v>47986629264</v>
      </c>
      <c r="O84" s="57">
        <v>1</v>
      </c>
      <c r="P84" s="57">
        <v>9.5000000000000001E-2</v>
      </c>
      <c r="Q84" s="57">
        <v>9.5000000000000001E-2</v>
      </c>
      <c r="R84" s="16">
        <f>R83-39450000000+M84</f>
        <v>173870742269.89001</v>
      </c>
      <c r="S84" s="16">
        <f>S83-39595744080+N84</f>
        <v>175980490720</v>
      </c>
      <c r="T84" s="17">
        <f t="shared" si="11"/>
        <v>4541950000</v>
      </c>
      <c r="U84" s="18"/>
      <c r="V84" s="19"/>
      <c r="W84" s="19"/>
      <c r="X84" s="19"/>
    </row>
    <row r="85" spans="1:24" ht="26.25" customHeight="1" x14ac:dyDescent="0.2">
      <c r="A85" s="85"/>
      <c r="B85" s="46">
        <v>80</v>
      </c>
      <c r="C85" s="40" t="s">
        <v>25</v>
      </c>
      <c r="D85" s="41" t="s">
        <v>26</v>
      </c>
      <c r="E85" s="42" t="s">
        <v>27</v>
      </c>
      <c r="F85" s="54">
        <v>39318</v>
      </c>
      <c r="G85" s="54">
        <f t="shared" si="12"/>
        <v>39332</v>
      </c>
      <c r="H85" s="55">
        <v>14</v>
      </c>
      <c r="I85" s="55" t="s">
        <v>0</v>
      </c>
      <c r="J85" s="56" t="s">
        <v>2</v>
      </c>
      <c r="K85" s="57">
        <v>0</v>
      </c>
      <c r="L85" s="56" t="s">
        <v>2</v>
      </c>
      <c r="M85" s="16">
        <v>31765000000</v>
      </c>
      <c r="N85" s="16">
        <v>31882352616</v>
      </c>
      <c r="O85" s="57">
        <v>1</v>
      </c>
      <c r="P85" s="57">
        <v>9.5000000000000001E-2</v>
      </c>
      <c r="Q85" s="57">
        <v>9.5000000000000001E-2</v>
      </c>
      <c r="R85" s="16">
        <f>R84-26475000000+M85</f>
        <v>179160742269.89001</v>
      </c>
      <c r="S85" s="16">
        <f>S84-26572809240+N85</f>
        <v>181290034096</v>
      </c>
      <c r="T85" s="17">
        <f t="shared" si="11"/>
        <v>3017675000</v>
      </c>
      <c r="U85" s="18"/>
      <c r="V85" s="19"/>
      <c r="W85" s="19"/>
      <c r="X85" s="19"/>
    </row>
    <row r="86" spans="1:24" ht="26.25" customHeight="1" x14ac:dyDescent="0.2">
      <c r="A86" s="85"/>
      <c r="B86" s="46">
        <v>81</v>
      </c>
      <c r="C86" s="40" t="s">
        <v>29</v>
      </c>
      <c r="D86" s="41" t="s">
        <v>28</v>
      </c>
      <c r="E86" s="42" t="s">
        <v>30</v>
      </c>
      <c r="F86" s="54">
        <v>39321</v>
      </c>
      <c r="G86" s="54">
        <f t="shared" si="12"/>
        <v>39503</v>
      </c>
      <c r="H86" s="55">
        <v>182</v>
      </c>
      <c r="I86" s="55" t="s">
        <v>0</v>
      </c>
      <c r="J86" s="56">
        <v>1500000000</v>
      </c>
      <c r="K86" s="57">
        <v>0</v>
      </c>
      <c r="L86" s="56">
        <v>1500000000</v>
      </c>
      <c r="M86" s="16">
        <v>1430638650</v>
      </c>
      <c r="N86" s="16">
        <v>1500000000</v>
      </c>
      <c r="O86" s="57">
        <v>1</v>
      </c>
      <c r="P86" s="57">
        <v>9.5939999999999998E-2</v>
      </c>
      <c r="Q86" s="57">
        <v>9.5899999999999999E-2</v>
      </c>
      <c r="R86" s="16">
        <f>R85-4700865200+1430638650</f>
        <v>175890515719.89001</v>
      </c>
      <c r="S86" s="16">
        <f>S85-5000000000+N86</f>
        <v>177790034096</v>
      </c>
      <c r="T86" s="17">
        <f t="shared" si="11"/>
        <v>137198246.535</v>
      </c>
      <c r="U86" s="18"/>
      <c r="V86" s="19"/>
      <c r="W86" s="19"/>
      <c r="X86" s="19"/>
    </row>
    <row r="87" spans="1:24" ht="26.25" customHeight="1" x14ac:dyDescent="0.2">
      <c r="A87" s="85"/>
      <c r="B87" s="46">
        <v>82</v>
      </c>
      <c r="C87" s="40" t="s">
        <v>25</v>
      </c>
      <c r="D87" s="41" t="s">
        <v>26</v>
      </c>
      <c r="E87" s="42" t="s">
        <v>27</v>
      </c>
      <c r="F87" s="54">
        <v>39323</v>
      </c>
      <c r="G87" s="54">
        <f t="shared" si="12"/>
        <v>39337</v>
      </c>
      <c r="H87" s="55">
        <v>14</v>
      </c>
      <c r="I87" s="55" t="s">
        <v>0</v>
      </c>
      <c r="J87" s="56" t="s">
        <v>2</v>
      </c>
      <c r="K87" s="57">
        <v>0</v>
      </c>
      <c r="L87" s="56" t="s">
        <v>2</v>
      </c>
      <c r="M87" s="16">
        <v>46470000000</v>
      </c>
      <c r="N87" s="16">
        <v>46646200299</v>
      </c>
      <c r="O87" s="57">
        <v>1</v>
      </c>
      <c r="P87" s="57">
        <v>9.7500000000000003E-2</v>
      </c>
      <c r="Q87" s="57">
        <v>9.7500000000000003E-2</v>
      </c>
      <c r="R87" s="16">
        <f>R86-31815000000+M87</f>
        <v>190545515719.89001</v>
      </c>
      <c r="S87" s="16">
        <f>S86-31932537336+N87</f>
        <v>192503697059</v>
      </c>
      <c r="T87" s="17">
        <f t="shared" si="11"/>
        <v>4530825000</v>
      </c>
      <c r="U87" s="18"/>
      <c r="V87" s="19"/>
      <c r="W87" s="19"/>
      <c r="X87" s="19"/>
    </row>
    <row r="88" spans="1:24" ht="26.25" customHeight="1" x14ac:dyDescent="0.2">
      <c r="A88" s="85"/>
      <c r="B88" s="46">
        <v>83</v>
      </c>
      <c r="C88" s="40" t="s">
        <v>25</v>
      </c>
      <c r="D88" s="41" t="s">
        <v>26</v>
      </c>
      <c r="E88" s="42" t="s">
        <v>27</v>
      </c>
      <c r="F88" s="54">
        <v>39325</v>
      </c>
      <c r="G88" s="54">
        <f t="shared" si="12"/>
        <v>39339</v>
      </c>
      <c r="H88" s="55">
        <v>14</v>
      </c>
      <c r="I88" s="55" t="s">
        <v>0</v>
      </c>
      <c r="J88" s="56" t="s">
        <v>2</v>
      </c>
      <c r="K88" s="57">
        <v>0</v>
      </c>
      <c r="L88" s="56" t="s">
        <v>2</v>
      </c>
      <c r="M88" s="16">
        <v>36785000000</v>
      </c>
      <c r="N88" s="16">
        <v>36924477684.5</v>
      </c>
      <c r="O88" s="57">
        <v>1</v>
      </c>
      <c r="P88" s="57">
        <v>9.7500000000000003E-2</v>
      </c>
      <c r="Q88" s="57">
        <v>9.7500000000000003E-2</v>
      </c>
      <c r="R88" s="16">
        <f>R87-40200000000+M88</f>
        <v>187130515719.89001</v>
      </c>
      <c r="S88" s="16">
        <f>S87-40348514880+N88</f>
        <v>189079659863.5</v>
      </c>
      <c r="T88" s="17">
        <f t="shared" si="11"/>
        <v>3586537500</v>
      </c>
      <c r="U88" s="18"/>
      <c r="V88" s="19"/>
      <c r="W88" s="19"/>
      <c r="X88" s="19"/>
    </row>
    <row r="89" spans="1:24" ht="26.25" customHeight="1" x14ac:dyDescent="0.2">
      <c r="A89" s="85"/>
      <c r="B89" s="46">
        <v>84</v>
      </c>
      <c r="C89" s="40" t="s">
        <v>25</v>
      </c>
      <c r="D89" s="41" t="s">
        <v>26</v>
      </c>
      <c r="E89" s="42" t="s">
        <v>27</v>
      </c>
      <c r="F89" s="54">
        <v>39330</v>
      </c>
      <c r="G89" s="54">
        <f t="shared" si="12"/>
        <v>39344</v>
      </c>
      <c r="H89" s="55">
        <v>14</v>
      </c>
      <c r="I89" s="55" t="s">
        <v>0</v>
      </c>
      <c r="J89" s="56" t="s">
        <v>2</v>
      </c>
      <c r="K89" s="57">
        <v>0</v>
      </c>
      <c r="L89" s="56" t="s">
        <v>2</v>
      </c>
      <c r="M89" s="16">
        <v>36390000000</v>
      </c>
      <c r="N89" s="16">
        <v>36527979963</v>
      </c>
      <c r="O89" s="57">
        <v>1</v>
      </c>
      <c r="P89" s="57">
        <v>9.7500000000000003E-2</v>
      </c>
      <c r="Q89" s="57">
        <v>9.7500000000000003E-2</v>
      </c>
      <c r="R89" s="16">
        <f>187130515719.89-M84+M89</f>
        <v>175710515719.89001</v>
      </c>
      <c r="S89" s="16">
        <f>189079659863.5-N84+N89</f>
        <v>177621010562.5</v>
      </c>
      <c r="T89" s="17">
        <f t="shared" si="11"/>
        <v>3548025000</v>
      </c>
      <c r="U89" s="18"/>
      <c r="V89" s="19"/>
      <c r="W89" s="19"/>
      <c r="X89" s="19"/>
    </row>
    <row r="90" spans="1:24" ht="26.25" customHeight="1" x14ac:dyDescent="0.2">
      <c r="A90" s="85"/>
      <c r="B90" s="46">
        <v>85</v>
      </c>
      <c r="C90" s="40" t="s">
        <v>25</v>
      </c>
      <c r="D90" s="41" t="s">
        <v>26</v>
      </c>
      <c r="E90" s="42" t="s">
        <v>27</v>
      </c>
      <c r="F90" s="54">
        <v>39332</v>
      </c>
      <c r="G90" s="54">
        <f t="shared" ref="G90:G95" si="13">+F90+H90</f>
        <v>39346</v>
      </c>
      <c r="H90" s="55">
        <v>14</v>
      </c>
      <c r="I90" s="55" t="s">
        <v>0</v>
      </c>
      <c r="J90" s="56" t="s">
        <v>2</v>
      </c>
      <c r="K90" s="57">
        <v>0</v>
      </c>
      <c r="L90" s="56" t="s">
        <v>2</v>
      </c>
      <c r="M90" s="16">
        <v>43020000000</v>
      </c>
      <c r="N90" s="16">
        <v>43183118934</v>
      </c>
      <c r="O90" s="57">
        <v>1</v>
      </c>
      <c r="P90" s="57">
        <v>9.7500000000000003E-2</v>
      </c>
      <c r="Q90" s="57">
        <v>9.7500000000000003E-2</v>
      </c>
      <c r="R90" s="16">
        <f>175710515719.89-M85+M90</f>
        <v>186965515719.89001</v>
      </c>
      <c r="S90" s="16">
        <f>177621010562.5-N85+N90</f>
        <v>188921776880.5</v>
      </c>
      <c r="T90" s="17">
        <f t="shared" si="11"/>
        <v>4194450000</v>
      </c>
      <c r="U90" s="18"/>
      <c r="V90" s="19"/>
      <c r="W90" s="19"/>
      <c r="X90" s="19"/>
    </row>
    <row r="91" spans="1:24" ht="26.25" customHeight="1" x14ac:dyDescent="0.2">
      <c r="A91" s="85"/>
      <c r="B91" s="46">
        <v>86</v>
      </c>
      <c r="C91" s="40" t="s">
        <v>25</v>
      </c>
      <c r="D91" s="41" t="s">
        <v>26</v>
      </c>
      <c r="E91" s="42" t="s">
        <v>27</v>
      </c>
      <c r="F91" s="54">
        <v>39337</v>
      </c>
      <c r="G91" s="54">
        <f t="shared" si="13"/>
        <v>39351</v>
      </c>
      <c r="H91" s="55">
        <v>14</v>
      </c>
      <c r="I91" s="55" t="s">
        <v>0</v>
      </c>
      <c r="J91" s="56" t="s">
        <v>2</v>
      </c>
      <c r="K91" s="57">
        <v>0</v>
      </c>
      <c r="L91" s="56" t="s">
        <v>2</v>
      </c>
      <c r="M91" s="16">
        <v>45570000000</v>
      </c>
      <c r="N91" s="66">
        <v>45742787769</v>
      </c>
      <c r="O91" s="57">
        <v>1</v>
      </c>
      <c r="P91" s="57">
        <v>9.7500000000000003E-2</v>
      </c>
      <c r="Q91" s="57">
        <v>9.7500000000000003E-2</v>
      </c>
      <c r="R91" s="66">
        <f>R90-4644564085-46470000000+M91</f>
        <v>181420951634.89001</v>
      </c>
      <c r="S91" s="30">
        <f>S90-4920000000-46646200299+N91</f>
        <v>183098364350.5</v>
      </c>
      <c r="T91" s="17">
        <f t="shared" ref="T91:T108" si="14">Q91*M91</f>
        <v>4443075000</v>
      </c>
      <c r="U91" s="18"/>
      <c r="V91" s="19"/>
      <c r="W91" s="19"/>
      <c r="X91" s="19"/>
    </row>
    <row r="92" spans="1:24" ht="26.25" customHeight="1" x14ac:dyDescent="0.2">
      <c r="A92" s="85"/>
      <c r="B92" s="46">
        <v>87</v>
      </c>
      <c r="C92" s="40" t="s">
        <v>25</v>
      </c>
      <c r="D92" s="41" t="s">
        <v>26</v>
      </c>
      <c r="E92" s="42" t="s">
        <v>27</v>
      </c>
      <c r="F92" s="54">
        <v>39339</v>
      </c>
      <c r="G92" s="54">
        <f t="shared" si="13"/>
        <v>39353</v>
      </c>
      <c r="H92" s="55">
        <v>14</v>
      </c>
      <c r="I92" s="55" t="s">
        <v>0</v>
      </c>
      <c r="J92" s="56" t="s">
        <v>2</v>
      </c>
      <c r="K92" s="57">
        <v>0</v>
      </c>
      <c r="L92" s="56" t="s">
        <v>2</v>
      </c>
      <c r="M92" s="16">
        <v>39770000000</v>
      </c>
      <c r="N92" s="16">
        <v>39920795909</v>
      </c>
      <c r="O92" s="57">
        <v>1</v>
      </c>
      <c r="P92" s="57">
        <v>9.7500000000000003E-2</v>
      </c>
      <c r="Q92" s="57">
        <v>9.7500000000000003E-2</v>
      </c>
      <c r="R92" s="16">
        <f>R91-36785000000+M92</f>
        <v>184405951634.89001</v>
      </c>
      <c r="S92" s="16">
        <f>S91-36924477684.5+N92</f>
        <v>186094682575</v>
      </c>
      <c r="T92" s="17">
        <f t="shared" si="14"/>
        <v>3877575000</v>
      </c>
      <c r="U92" s="18"/>
      <c r="V92" s="19"/>
      <c r="W92" s="19"/>
      <c r="X92" s="19"/>
    </row>
    <row r="93" spans="1:24" ht="26.25" customHeight="1" x14ac:dyDescent="0.2">
      <c r="A93" s="85"/>
      <c r="B93" s="46">
        <v>88</v>
      </c>
      <c r="C93" s="76" t="s">
        <v>25</v>
      </c>
      <c r="D93" s="77" t="s">
        <v>26</v>
      </c>
      <c r="E93" s="78" t="s">
        <v>27</v>
      </c>
      <c r="F93" s="54">
        <v>39344</v>
      </c>
      <c r="G93" s="54">
        <f t="shared" si="13"/>
        <v>39358</v>
      </c>
      <c r="H93" s="55">
        <v>14</v>
      </c>
      <c r="I93" s="55" t="s">
        <v>0</v>
      </c>
      <c r="J93" s="56" t="s">
        <v>2</v>
      </c>
      <c r="K93" s="57">
        <v>0</v>
      </c>
      <c r="L93" s="56" t="s">
        <v>2</v>
      </c>
      <c r="M93" s="16">
        <v>34945000000</v>
      </c>
      <c r="N93" s="16">
        <v>35077500956.5</v>
      </c>
      <c r="O93" s="57">
        <v>1</v>
      </c>
      <c r="P93" s="57">
        <v>9.7500000000000003E-2</v>
      </c>
      <c r="Q93" s="57">
        <v>9.7500000000000003E-2</v>
      </c>
      <c r="R93" s="16">
        <f>184405951634.89-M89+M93</f>
        <v>182960951634.89001</v>
      </c>
      <c r="S93" s="16">
        <f>186094682575-N89+N93</f>
        <v>184644203568.5</v>
      </c>
      <c r="T93" s="17">
        <f t="shared" si="14"/>
        <v>3407137500</v>
      </c>
      <c r="U93" s="18"/>
      <c r="V93" s="19"/>
      <c r="W93" s="19"/>
      <c r="X93" s="19"/>
    </row>
    <row r="94" spans="1:24" ht="26.25" customHeight="1" x14ac:dyDescent="0.2">
      <c r="A94" s="85">
        <v>2007</v>
      </c>
      <c r="B94" s="49">
        <v>89</v>
      </c>
      <c r="C94" s="40" t="s">
        <v>25</v>
      </c>
      <c r="D94" s="41" t="s">
        <v>26</v>
      </c>
      <c r="E94" s="42" t="s">
        <v>27</v>
      </c>
      <c r="F94" s="62">
        <v>39346</v>
      </c>
      <c r="G94" s="62">
        <f t="shared" si="13"/>
        <v>39360</v>
      </c>
      <c r="H94" s="63">
        <v>14</v>
      </c>
      <c r="I94" s="63" t="s">
        <v>0</v>
      </c>
      <c r="J94" s="64" t="s">
        <v>2</v>
      </c>
      <c r="K94" s="65">
        <v>0</v>
      </c>
      <c r="L94" s="64" t="s">
        <v>2</v>
      </c>
      <c r="M94" s="22">
        <v>41325000000</v>
      </c>
      <c r="N94" s="22">
        <v>41481692002.5</v>
      </c>
      <c r="O94" s="65">
        <v>1</v>
      </c>
      <c r="P94" s="65">
        <v>9.7500000000000003E-2</v>
      </c>
      <c r="Q94" s="65">
        <v>9.7500000000000003E-2</v>
      </c>
      <c r="R94" s="22">
        <f>182960951634.89-M90+M94</f>
        <v>181265951634.89001</v>
      </c>
      <c r="S94" s="22">
        <f>184644203568.5-N90+N94</f>
        <v>182942776637</v>
      </c>
      <c r="T94" s="17">
        <f t="shared" si="14"/>
        <v>4029187500</v>
      </c>
      <c r="U94" s="18"/>
      <c r="V94" s="19"/>
      <c r="W94" s="19"/>
      <c r="X94" s="19"/>
    </row>
    <row r="95" spans="1:24" ht="26.25" customHeight="1" x14ac:dyDescent="0.2">
      <c r="A95" s="85"/>
      <c r="B95" s="46">
        <v>90</v>
      </c>
      <c r="C95" s="40" t="s">
        <v>29</v>
      </c>
      <c r="D95" s="41" t="s">
        <v>28</v>
      </c>
      <c r="E95" s="42" t="s">
        <v>30</v>
      </c>
      <c r="F95" s="54">
        <v>39349</v>
      </c>
      <c r="G95" s="54">
        <f t="shared" si="13"/>
        <v>39531</v>
      </c>
      <c r="H95" s="55">
        <v>182</v>
      </c>
      <c r="I95" s="55" t="s">
        <v>0</v>
      </c>
      <c r="J95" s="56">
        <v>1500000000</v>
      </c>
      <c r="K95" s="57">
        <v>0</v>
      </c>
      <c r="L95" s="56">
        <v>1500000000</v>
      </c>
      <c r="M95" s="16">
        <v>1428630896.54</v>
      </c>
      <c r="N95" s="16">
        <v>1500000000</v>
      </c>
      <c r="O95" s="57">
        <v>1</v>
      </c>
      <c r="P95" s="57">
        <v>9.98E-2</v>
      </c>
      <c r="Q95" s="57">
        <v>9.8799999999999999E-2</v>
      </c>
      <c r="R95" s="16">
        <f>R94-4719465200.33+M95</f>
        <v>177975117331.10004</v>
      </c>
      <c r="S95" s="16">
        <f>S94-5000000000+N95</f>
        <v>179442776637</v>
      </c>
      <c r="T95" s="17">
        <f t="shared" si="14"/>
        <v>141148732.578152</v>
      </c>
      <c r="U95" s="18"/>
      <c r="V95" s="19"/>
      <c r="W95" s="19"/>
      <c r="X95" s="19"/>
    </row>
    <row r="96" spans="1:24" ht="26.25" customHeight="1" x14ac:dyDescent="0.2">
      <c r="A96" s="85"/>
      <c r="B96" s="46">
        <v>91</v>
      </c>
      <c r="C96" s="40" t="s">
        <v>25</v>
      </c>
      <c r="D96" s="41" t="s">
        <v>26</v>
      </c>
      <c r="E96" s="42" t="s">
        <v>27</v>
      </c>
      <c r="F96" s="54">
        <v>39351</v>
      </c>
      <c r="G96" s="54">
        <f t="shared" ref="G96:G102" si="15">+F96+H96</f>
        <v>39365</v>
      </c>
      <c r="H96" s="55">
        <v>14</v>
      </c>
      <c r="I96" s="55" t="s">
        <v>0</v>
      </c>
      <c r="J96" s="56" t="s">
        <v>2</v>
      </c>
      <c r="K96" s="57">
        <v>0</v>
      </c>
      <c r="L96" s="56" t="s">
        <v>2</v>
      </c>
      <c r="M96" s="16">
        <v>50070000000</v>
      </c>
      <c r="N96" s="16">
        <v>50259850419</v>
      </c>
      <c r="O96" s="57">
        <v>1</v>
      </c>
      <c r="P96" s="57">
        <v>9.7500000000000003E-2</v>
      </c>
      <c r="Q96" s="57">
        <v>9.7500000000000003E-2</v>
      </c>
      <c r="R96" s="16">
        <f>R95-45570000000+M96</f>
        <v>182475117331.10004</v>
      </c>
      <c r="S96" s="16">
        <f>S95-45742787769+N96</f>
        <v>183959839287</v>
      </c>
      <c r="T96" s="17">
        <f t="shared" si="14"/>
        <v>4881825000</v>
      </c>
      <c r="U96" s="18"/>
      <c r="V96" s="19"/>
      <c r="W96" s="19"/>
      <c r="X96" s="19"/>
    </row>
    <row r="97" spans="1:24" ht="26.25" customHeight="1" x14ac:dyDescent="0.2">
      <c r="A97" s="85"/>
      <c r="B97" s="46">
        <v>92</v>
      </c>
      <c r="C97" s="40" t="s">
        <v>25</v>
      </c>
      <c r="D97" s="41" t="s">
        <v>26</v>
      </c>
      <c r="E97" s="42" t="s">
        <v>27</v>
      </c>
      <c r="F97" s="54">
        <v>39353</v>
      </c>
      <c r="G97" s="54">
        <f t="shared" si="15"/>
        <v>39367</v>
      </c>
      <c r="H97" s="55">
        <v>14</v>
      </c>
      <c r="I97" s="55" t="s">
        <v>0</v>
      </c>
      <c r="J97" s="56" t="s">
        <v>2</v>
      </c>
      <c r="K97" s="57">
        <v>0</v>
      </c>
      <c r="L97" s="56" t="s">
        <v>2</v>
      </c>
      <c r="M97" s="16">
        <v>40475000000</v>
      </c>
      <c r="N97" s="16">
        <v>40628469057.5</v>
      </c>
      <c r="O97" s="57">
        <v>1</v>
      </c>
      <c r="P97" s="57">
        <v>9.7500000000000003E-2</v>
      </c>
      <c r="Q97" s="57">
        <v>9.7500000000000003E-2</v>
      </c>
      <c r="R97" s="16">
        <f>R96-39770000000+M97</f>
        <v>183180117331.10004</v>
      </c>
      <c r="S97" s="16">
        <f>S96-39920795909+N97</f>
        <v>184667512435.5</v>
      </c>
      <c r="T97" s="17">
        <f t="shared" si="14"/>
        <v>3946312500</v>
      </c>
      <c r="U97" s="18"/>
      <c r="V97" s="19"/>
      <c r="W97" s="19"/>
      <c r="X97" s="19"/>
    </row>
    <row r="98" spans="1:24" ht="26.25" customHeight="1" x14ac:dyDescent="0.2">
      <c r="A98" s="85"/>
      <c r="B98" s="46">
        <v>93</v>
      </c>
      <c r="C98" s="40" t="s">
        <v>25</v>
      </c>
      <c r="D98" s="41" t="s">
        <v>26</v>
      </c>
      <c r="E98" s="42" t="s">
        <v>27</v>
      </c>
      <c r="F98" s="54">
        <v>39358</v>
      </c>
      <c r="G98" s="54">
        <f t="shared" si="15"/>
        <v>39372</v>
      </c>
      <c r="H98" s="55">
        <v>14</v>
      </c>
      <c r="I98" s="55" t="s">
        <v>0</v>
      </c>
      <c r="J98" s="56" t="s">
        <v>2</v>
      </c>
      <c r="K98" s="57">
        <v>0</v>
      </c>
      <c r="L98" s="56" t="s">
        <v>2</v>
      </c>
      <c r="M98" s="16">
        <v>40695000000</v>
      </c>
      <c r="N98" s="16">
        <v>40849303231.5</v>
      </c>
      <c r="O98" s="57">
        <v>1</v>
      </c>
      <c r="P98" s="57">
        <v>9.7500000000000003E-2</v>
      </c>
      <c r="Q98" s="57">
        <v>9.7500000000000003E-2</v>
      </c>
      <c r="R98" s="16">
        <f>R97-34945000000+M98</f>
        <v>188930117331.10004</v>
      </c>
      <c r="S98" s="16">
        <f>S97-35077500956.5+N98</f>
        <v>190439314710.5</v>
      </c>
      <c r="T98" s="17">
        <f t="shared" si="14"/>
        <v>3967762500</v>
      </c>
      <c r="U98" s="18"/>
      <c r="V98" s="19"/>
      <c r="W98" s="19"/>
      <c r="X98" s="19"/>
    </row>
    <row r="99" spans="1:24" ht="26.25" customHeight="1" x14ac:dyDescent="0.2">
      <c r="A99" s="85"/>
      <c r="B99" s="46">
        <v>94</v>
      </c>
      <c r="C99" s="40" t="s">
        <v>25</v>
      </c>
      <c r="D99" s="41" t="s">
        <v>26</v>
      </c>
      <c r="E99" s="42" t="s">
        <v>27</v>
      </c>
      <c r="F99" s="54">
        <v>39360</v>
      </c>
      <c r="G99" s="54">
        <f t="shared" si="15"/>
        <v>39374</v>
      </c>
      <c r="H99" s="55">
        <v>14</v>
      </c>
      <c r="I99" s="55" t="s">
        <v>0</v>
      </c>
      <c r="J99" s="56" t="s">
        <v>2</v>
      </c>
      <c r="K99" s="57">
        <v>0</v>
      </c>
      <c r="L99" s="56" t="s">
        <v>2</v>
      </c>
      <c r="M99" s="16">
        <v>45700000000</v>
      </c>
      <c r="N99" s="16">
        <v>45873280690</v>
      </c>
      <c r="O99" s="57">
        <v>1</v>
      </c>
      <c r="P99" s="57">
        <v>9.7500000000000003E-2</v>
      </c>
      <c r="Q99" s="57">
        <v>9.7500000000000003E-2</v>
      </c>
      <c r="R99" s="16">
        <f>188930117331.1-M94+M99</f>
        <v>193305117331.10001</v>
      </c>
      <c r="S99" s="16">
        <f>190439314710.5-N94+N99</f>
        <v>194830903398</v>
      </c>
      <c r="T99" s="17">
        <f t="shared" si="14"/>
        <v>4455750000</v>
      </c>
      <c r="U99" s="18"/>
      <c r="V99" s="19"/>
      <c r="W99" s="19"/>
      <c r="X99" s="19"/>
    </row>
    <row r="100" spans="1:24" ht="26.25" customHeight="1" x14ac:dyDescent="0.2">
      <c r="A100" s="85"/>
      <c r="B100" s="46">
        <v>95</v>
      </c>
      <c r="C100" s="40" t="s">
        <v>25</v>
      </c>
      <c r="D100" s="41" t="s">
        <v>26</v>
      </c>
      <c r="E100" s="42" t="s">
        <v>27</v>
      </c>
      <c r="F100" s="54">
        <v>39365</v>
      </c>
      <c r="G100" s="54">
        <f t="shared" si="15"/>
        <v>39379</v>
      </c>
      <c r="H100" s="55">
        <v>14</v>
      </c>
      <c r="I100" s="55" t="s">
        <v>0</v>
      </c>
      <c r="J100" s="56" t="s">
        <v>2</v>
      </c>
      <c r="K100" s="57">
        <v>0</v>
      </c>
      <c r="L100" s="56" t="s">
        <v>2</v>
      </c>
      <c r="M100" s="16">
        <v>39280000000</v>
      </c>
      <c r="N100" s="16">
        <v>39428937976</v>
      </c>
      <c r="O100" s="57">
        <v>1</v>
      </c>
      <c r="P100" s="57">
        <v>9.7500000000000003E-2</v>
      </c>
      <c r="Q100" s="57">
        <v>9.7500000000000003E-2</v>
      </c>
      <c r="R100" s="16">
        <f>R99-50070000000+M100</f>
        <v>182515117331.10001</v>
      </c>
      <c r="S100" s="16">
        <f>S99-50259850419+N100</f>
        <v>183999990955</v>
      </c>
      <c r="T100" s="17">
        <f t="shared" si="14"/>
        <v>3829800000</v>
      </c>
      <c r="U100" s="18"/>
      <c r="V100" s="19"/>
      <c r="W100" s="19"/>
      <c r="X100" s="19"/>
    </row>
    <row r="101" spans="1:24" ht="26.25" customHeight="1" x14ac:dyDescent="0.2">
      <c r="A101" s="85"/>
      <c r="B101" s="46">
        <v>96</v>
      </c>
      <c r="C101" s="40" t="s">
        <v>25</v>
      </c>
      <c r="D101" s="41" t="s">
        <v>26</v>
      </c>
      <c r="E101" s="42" t="s">
        <v>27</v>
      </c>
      <c r="F101" s="54">
        <v>39367</v>
      </c>
      <c r="G101" s="54">
        <f t="shared" si="15"/>
        <v>39381</v>
      </c>
      <c r="H101" s="55">
        <v>14</v>
      </c>
      <c r="I101" s="55" t="s">
        <v>0</v>
      </c>
      <c r="J101" s="56" t="s">
        <v>2</v>
      </c>
      <c r="K101" s="57">
        <v>0</v>
      </c>
      <c r="L101" s="56" t="s">
        <v>2</v>
      </c>
      <c r="M101" s="16">
        <v>41160000000</v>
      </c>
      <c r="N101" s="16">
        <v>41316066372</v>
      </c>
      <c r="O101" s="57">
        <v>1</v>
      </c>
      <c r="P101" s="57">
        <v>9.7500000000000003E-2</v>
      </c>
      <c r="Q101" s="57">
        <v>9.7500000000000003E-2</v>
      </c>
      <c r="R101" s="16">
        <f>R100-40475000000+M101</f>
        <v>183200117331.10001</v>
      </c>
      <c r="S101" s="16">
        <f>S100-40628469057.5+N101</f>
        <v>184687588269.5</v>
      </c>
      <c r="T101" s="17">
        <f t="shared" si="14"/>
        <v>4013100000</v>
      </c>
      <c r="U101" s="18"/>
      <c r="V101" s="19"/>
      <c r="W101" s="19"/>
      <c r="X101" s="19"/>
    </row>
    <row r="102" spans="1:24" ht="26.25" customHeight="1" x14ac:dyDescent="0.2">
      <c r="A102" s="85"/>
      <c r="B102" s="46">
        <v>97</v>
      </c>
      <c r="C102" s="40" t="s">
        <v>25</v>
      </c>
      <c r="D102" s="41" t="s">
        <v>26</v>
      </c>
      <c r="E102" s="42" t="s">
        <v>27</v>
      </c>
      <c r="F102" s="54">
        <v>39372</v>
      </c>
      <c r="G102" s="54">
        <f t="shared" si="15"/>
        <v>39386</v>
      </c>
      <c r="H102" s="55">
        <v>14</v>
      </c>
      <c r="I102" s="55" t="s">
        <v>0</v>
      </c>
      <c r="J102" s="56" t="s">
        <v>2</v>
      </c>
      <c r="K102" s="57">
        <v>0</v>
      </c>
      <c r="L102" s="56" t="s">
        <v>2</v>
      </c>
      <c r="M102" s="16">
        <v>40290000000</v>
      </c>
      <c r="N102" s="16">
        <v>40442767593</v>
      </c>
      <c r="O102" s="57">
        <v>1</v>
      </c>
      <c r="P102" s="57">
        <v>9.7500000000000003E-2</v>
      </c>
      <c r="Q102" s="57">
        <v>9.7500000000000003E-2</v>
      </c>
      <c r="R102" s="16">
        <f>R101-M98+M102-M41</f>
        <v>178058999916.89999</v>
      </c>
      <c r="S102" s="16">
        <f>184687588269.5-N98+N102-N41</f>
        <v>179281052631</v>
      </c>
      <c r="T102" s="17">
        <f t="shared" si="14"/>
        <v>3928275000</v>
      </c>
      <c r="U102" s="18"/>
      <c r="V102" s="19"/>
      <c r="W102" s="19"/>
      <c r="X102" s="19"/>
    </row>
    <row r="103" spans="1:24" ht="26.25" customHeight="1" x14ac:dyDescent="0.2">
      <c r="A103" s="85"/>
      <c r="B103" s="46">
        <v>98</v>
      </c>
      <c r="C103" s="40" t="s">
        <v>25</v>
      </c>
      <c r="D103" s="41" t="s">
        <v>26</v>
      </c>
      <c r="E103" s="42" t="s">
        <v>27</v>
      </c>
      <c r="F103" s="54">
        <v>39374</v>
      </c>
      <c r="G103" s="54">
        <f t="shared" ref="G103:G110" si="16">+F103+H103</f>
        <v>39388</v>
      </c>
      <c r="H103" s="55">
        <v>14</v>
      </c>
      <c r="I103" s="55" t="s">
        <v>0</v>
      </c>
      <c r="J103" s="56" t="s">
        <v>2</v>
      </c>
      <c r="K103" s="57">
        <v>0</v>
      </c>
      <c r="L103" s="56" t="s">
        <v>2</v>
      </c>
      <c r="M103" s="16">
        <v>47715000000</v>
      </c>
      <c r="N103" s="16">
        <v>47895920965.5</v>
      </c>
      <c r="O103" s="57">
        <v>1</v>
      </c>
      <c r="P103" s="57">
        <v>9.7500000000000003E-2</v>
      </c>
      <c r="Q103" s="57">
        <v>9.7500000000000003E-2</v>
      </c>
      <c r="R103" s="16">
        <f>R102-M99+M103</f>
        <v>180073999916.89999</v>
      </c>
      <c r="S103" s="16">
        <f>S102-N99+N103</f>
        <v>181303692906.5</v>
      </c>
      <c r="T103" s="17">
        <f t="shared" si="14"/>
        <v>4652212500</v>
      </c>
      <c r="U103" s="18"/>
      <c r="V103" s="19"/>
      <c r="W103" s="19"/>
      <c r="X103" s="19"/>
    </row>
    <row r="104" spans="1:24" ht="26.25" customHeight="1" x14ac:dyDescent="0.2">
      <c r="A104" s="85"/>
      <c r="B104" s="46">
        <v>99</v>
      </c>
      <c r="C104" s="40" t="s">
        <v>25</v>
      </c>
      <c r="D104" s="41" t="s">
        <v>26</v>
      </c>
      <c r="E104" s="42" t="s">
        <v>27</v>
      </c>
      <c r="F104" s="54">
        <v>39379</v>
      </c>
      <c r="G104" s="54">
        <f t="shared" si="16"/>
        <v>39393</v>
      </c>
      <c r="H104" s="55">
        <v>14</v>
      </c>
      <c r="I104" s="55" t="s">
        <v>0</v>
      </c>
      <c r="J104" s="56" t="s">
        <v>2</v>
      </c>
      <c r="K104" s="57">
        <v>0</v>
      </c>
      <c r="L104" s="56" t="s">
        <v>2</v>
      </c>
      <c r="M104" s="16">
        <v>47745000000</v>
      </c>
      <c r="N104" s="16">
        <v>47926034716.5</v>
      </c>
      <c r="O104" s="57">
        <v>1</v>
      </c>
      <c r="P104" s="57">
        <v>9.7500000000000003E-2</v>
      </c>
      <c r="Q104" s="57">
        <v>9.7500000000000003E-2</v>
      </c>
      <c r="R104" s="16">
        <f>R103-39280000000+M104</f>
        <v>188538999916.89999</v>
      </c>
      <c r="S104" s="16">
        <f>S103-39428937976+N104</f>
        <v>189800789647</v>
      </c>
      <c r="T104" s="17">
        <f t="shared" si="14"/>
        <v>4655137500</v>
      </c>
      <c r="U104" s="18"/>
      <c r="V104" s="19"/>
      <c r="W104" s="19"/>
      <c r="X104" s="19"/>
    </row>
    <row r="105" spans="1:24" ht="26.25" customHeight="1" x14ac:dyDescent="0.2">
      <c r="A105" s="85"/>
      <c r="B105" s="46">
        <v>100</v>
      </c>
      <c r="C105" s="40" t="s">
        <v>25</v>
      </c>
      <c r="D105" s="41" t="s">
        <v>26</v>
      </c>
      <c r="E105" s="42" t="s">
        <v>27</v>
      </c>
      <c r="F105" s="54">
        <v>39381</v>
      </c>
      <c r="G105" s="54">
        <f t="shared" si="16"/>
        <v>39395</v>
      </c>
      <c r="H105" s="55">
        <v>14</v>
      </c>
      <c r="I105" s="55" t="s">
        <v>0</v>
      </c>
      <c r="J105" s="56" t="s">
        <v>2</v>
      </c>
      <c r="K105" s="57">
        <v>0</v>
      </c>
      <c r="L105" s="56" t="s">
        <v>2</v>
      </c>
      <c r="M105" s="16">
        <v>52320000000</v>
      </c>
      <c r="N105" s="16">
        <v>52518381744</v>
      </c>
      <c r="O105" s="57">
        <v>1</v>
      </c>
      <c r="P105" s="57">
        <v>9.7500000000000003E-2</v>
      </c>
      <c r="Q105" s="57">
        <v>9.7500000000000003E-2</v>
      </c>
      <c r="R105" s="16">
        <f>R104-41160000000+M105</f>
        <v>199698999916.89999</v>
      </c>
      <c r="S105" s="16">
        <f>S104-41316066372+N105</f>
        <v>201003105019</v>
      </c>
      <c r="T105" s="17">
        <f t="shared" si="14"/>
        <v>5101200000</v>
      </c>
      <c r="U105" s="18"/>
      <c r="V105" s="19"/>
      <c r="W105" s="19"/>
      <c r="X105" s="19"/>
    </row>
    <row r="106" spans="1:24" ht="26.25" customHeight="1" x14ac:dyDescent="0.2">
      <c r="A106" s="85"/>
      <c r="B106" s="46">
        <v>101</v>
      </c>
      <c r="C106" s="40" t="s">
        <v>29</v>
      </c>
      <c r="D106" s="41" t="s">
        <v>28</v>
      </c>
      <c r="E106" s="42" t="s">
        <v>30</v>
      </c>
      <c r="F106" s="54">
        <v>39384</v>
      </c>
      <c r="G106" s="54">
        <f t="shared" si="16"/>
        <v>39566</v>
      </c>
      <c r="H106" s="55">
        <v>182</v>
      </c>
      <c r="I106" s="55" t="s">
        <v>0</v>
      </c>
      <c r="J106" s="56">
        <v>1500000000</v>
      </c>
      <c r="K106" s="57">
        <v>0</v>
      </c>
      <c r="L106" s="56">
        <v>1500000000</v>
      </c>
      <c r="M106" s="16">
        <v>1429088250</v>
      </c>
      <c r="N106" s="16">
        <v>1500000000</v>
      </c>
      <c r="O106" s="57">
        <v>1</v>
      </c>
      <c r="P106" s="57">
        <v>9.8500000000000004E-2</v>
      </c>
      <c r="Q106" s="57">
        <v>9.8100000000000007E-2</v>
      </c>
      <c r="R106" s="16">
        <f>R105-M47+M106</f>
        <v>198754293517.94</v>
      </c>
      <c r="S106" s="16">
        <f>S105-N47+N106</f>
        <v>200003105019</v>
      </c>
      <c r="T106" s="17">
        <f t="shared" si="14"/>
        <v>140193557.32500002</v>
      </c>
      <c r="U106" s="18"/>
      <c r="V106" s="19"/>
      <c r="W106" s="19"/>
      <c r="X106" s="19"/>
    </row>
    <row r="107" spans="1:24" ht="26.25" customHeight="1" x14ac:dyDescent="0.2">
      <c r="A107" s="85"/>
      <c r="B107" s="46">
        <v>102</v>
      </c>
      <c r="C107" s="40" t="s">
        <v>25</v>
      </c>
      <c r="D107" s="41" t="s">
        <v>26</v>
      </c>
      <c r="E107" s="42" t="s">
        <v>27</v>
      </c>
      <c r="F107" s="54">
        <v>39386</v>
      </c>
      <c r="G107" s="54">
        <f t="shared" si="16"/>
        <v>39400</v>
      </c>
      <c r="H107" s="55">
        <v>14</v>
      </c>
      <c r="I107" s="55" t="s">
        <v>0</v>
      </c>
      <c r="J107" s="56" t="s">
        <v>2</v>
      </c>
      <c r="K107" s="57">
        <v>0</v>
      </c>
      <c r="L107" s="56" t="s">
        <v>2</v>
      </c>
      <c r="M107" s="16">
        <v>41955000000</v>
      </c>
      <c r="N107" s="16">
        <v>42109998552</v>
      </c>
      <c r="O107" s="57">
        <v>1</v>
      </c>
      <c r="P107" s="57">
        <v>9.5000000000000001E-2</v>
      </c>
      <c r="Q107" s="57">
        <v>9.5000000000000001E-2</v>
      </c>
      <c r="R107" s="16">
        <f>R106-M102+M107</f>
        <v>200419293517.94</v>
      </c>
      <c r="S107" s="16">
        <f>S106-N102+N107</f>
        <v>201670335978</v>
      </c>
      <c r="T107" s="17">
        <f t="shared" si="14"/>
        <v>3985725000</v>
      </c>
      <c r="U107" s="18"/>
      <c r="V107" s="19"/>
      <c r="W107" s="19"/>
      <c r="X107" s="19"/>
    </row>
    <row r="108" spans="1:24" ht="26.25" customHeight="1" x14ac:dyDescent="0.2">
      <c r="A108" s="85"/>
      <c r="B108" s="46">
        <v>103</v>
      </c>
      <c r="C108" s="40" t="s">
        <v>25</v>
      </c>
      <c r="D108" s="41" t="s">
        <v>26</v>
      </c>
      <c r="E108" s="42" t="s">
        <v>27</v>
      </c>
      <c r="F108" s="54">
        <v>39388</v>
      </c>
      <c r="G108" s="54">
        <f t="shared" si="16"/>
        <v>39402</v>
      </c>
      <c r="H108" s="55">
        <v>14</v>
      </c>
      <c r="I108" s="55" t="s">
        <v>0</v>
      </c>
      <c r="J108" s="56" t="s">
        <v>2</v>
      </c>
      <c r="K108" s="57">
        <v>0</v>
      </c>
      <c r="L108" s="56" t="s">
        <v>2</v>
      </c>
      <c r="M108" s="16">
        <v>49430000000</v>
      </c>
      <c r="N108" s="16">
        <v>49612614192</v>
      </c>
      <c r="O108" s="57">
        <v>1</v>
      </c>
      <c r="P108" s="57">
        <v>9.5000000000000001E-2</v>
      </c>
      <c r="Q108" s="57">
        <v>9.5000000000000001E-2</v>
      </c>
      <c r="R108" s="16">
        <f>R107-M103+M108</f>
        <v>202134293517.94</v>
      </c>
      <c r="S108" s="16">
        <f>S107-N103+N108</f>
        <v>203387029204.5</v>
      </c>
      <c r="T108" s="17">
        <f t="shared" si="14"/>
        <v>4695850000</v>
      </c>
      <c r="U108" s="18"/>
      <c r="V108" s="19"/>
      <c r="W108" s="19"/>
      <c r="X108" s="19"/>
    </row>
    <row r="109" spans="1:24" ht="26.25" customHeight="1" x14ac:dyDescent="0.2">
      <c r="A109" s="85"/>
      <c r="B109" s="46">
        <v>104</v>
      </c>
      <c r="C109" s="40" t="s">
        <v>25</v>
      </c>
      <c r="D109" s="41" t="s">
        <v>26</v>
      </c>
      <c r="E109" s="42" t="s">
        <v>27</v>
      </c>
      <c r="F109" s="54">
        <v>39393</v>
      </c>
      <c r="G109" s="54">
        <f t="shared" si="16"/>
        <v>39407</v>
      </c>
      <c r="H109" s="55">
        <v>14</v>
      </c>
      <c r="I109" s="55" t="s">
        <v>0</v>
      </c>
      <c r="J109" s="56" t="s">
        <v>2</v>
      </c>
      <c r="K109" s="57">
        <v>0</v>
      </c>
      <c r="L109" s="56" t="s">
        <v>2</v>
      </c>
      <c r="M109" s="16">
        <v>46770000000</v>
      </c>
      <c r="N109" s="16">
        <v>46942787088</v>
      </c>
      <c r="O109" s="57">
        <v>1</v>
      </c>
      <c r="P109" s="57">
        <v>9.5000000000000001E-2</v>
      </c>
      <c r="Q109" s="57">
        <v>9.5000000000000001E-2</v>
      </c>
      <c r="R109" s="16">
        <f>R108-47745000000+M109</f>
        <v>201159293517.94</v>
      </c>
      <c r="S109" s="16">
        <f>S108-47926034716.5+N109</f>
        <v>202403781576</v>
      </c>
      <c r="T109" s="17">
        <f t="shared" ref="T109:T126" si="17">Q109*M109</f>
        <v>4443150000</v>
      </c>
      <c r="U109" s="18"/>
      <c r="V109" s="19"/>
      <c r="W109" s="19"/>
      <c r="X109" s="19"/>
    </row>
    <row r="110" spans="1:24" ht="26.25" customHeight="1" x14ac:dyDescent="0.2">
      <c r="A110" s="85"/>
      <c r="B110" s="46">
        <v>105</v>
      </c>
      <c r="C110" s="40" t="s">
        <v>25</v>
      </c>
      <c r="D110" s="41" t="s">
        <v>26</v>
      </c>
      <c r="E110" s="42" t="s">
        <v>27</v>
      </c>
      <c r="F110" s="54">
        <v>39395</v>
      </c>
      <c r="G110" s="54">
        <f t="shared" si="16"/>
        <v>39409</v>
      </c>
      <c r="H110" s="55">
        <v>14</v>
      </c>
      <c r="I110" s="55" t="s">
        <v>0</v>
      </c>
      <c r="J110" s="56" t="s">
        <v>2</v>
      </c>
      <c r="K110" s="57">
        <v>0</v>
      </c>
      <c r="L110" s="56" t="s">
        <v>2</v>
      </c>
      <c r="M110" s="16">
        <v>44030000000</v>
      </c>
      <c r="N110" s="16">
        <v>44192664432</v>
      </c>
      <c r="O110" s="57">
        <v>1</v>
      </c>
      <c r="P110" s="57">
        <v>9.5000000000000001E-2</v>
      </c>
      <c r="Q110" s="57">
        <v>9.5000000000000001E-2</v>
      </c>
      <c r="R110" s="16">
        <f>+R109-M105+M110</f>
        <v>192869293517.94</v>
      </c>
      <c r="S110" s="16">
        <f>+S109-N105+N110</f>
        <v>194078064264</v>
      </c>
      <c r="T110" s="17">
        <f t="shared" si="17"/>
        <v>4182850000</v>
      </c>
      <c r="U110" s="18"/>
      <c r="V110" s="19"/>
      <c r="W110" s="19"/>
      <c r="X110" s="19"/>
    </row>
    <row r="111" spans="1:24" ht="26.25" customHeight="1" x14ac:dyDescent="0.2">
      <c r="A111" s="85"/>
      <c r="B111" s="46">
        <v>106</v>
      </c>
      <c r="C111" s="40" t="s">
        <v>25</v>
      </c>
      <c r="D111" s="41" t="s">
        <v>26</v>
      </c>
      <c r="E111" s="42" t="s">
        <v>27</v>
      </c>
      <c r="F111" s="54">
        <v>39400</v>
      </c>
      <c r="G111" s="54">
        <f t="shared" ref="G111:G117" si="18">+F111+H111</f>
        <v>39414</v>
      </c>
      <c r="H111" s="55">
        <v>14</v>
      </c>
      <c r="I111" s="55" t="s">
        <v>0</v>
      </c>
      <c r="J111" s="56" t="s">
        <v>2</v>
      </c>
      <c r="K111" s="57">
        <v>0</v>
      </c>
      <c r="L111" s="56" t="s">
        <v>2</v>
      </c>
      <c r="M111" s="16">
        <v>50960000000</v>
      </c>
      <c r="N111" s="16">
        <v>51148266624</v>
      </c>
      <c r="O111" s="57">
        <v>1</v>
      </c>
      <c r="P111" s="57">
        <v>9.5000000000000001E-2</v>
      </c>
      <c r="Q111" s="57">
        <v>9.5000000000000001E-2</v>
      </c>
      <c r="R111" s="16">
        <f>R110-M107-M51+M111</f>
        <v>199765618505.94</v>
      </c>
      <c r="S111" s="16">
        <f>S110-N107-N51+N111</f>
        <v>200896332336</v>
      </c>
      <c r="T111" s="17">
        <f t="shared" si="17"/>
        <v>4841200000</v>
      </c>
      <c r="U111" s="18"/>
      <c r="V111" s="19"/>
      <c r="W111" s="19"/>
      <c r="X111" s="19"/>
    </row>
    <row r="112" spans="1:24" ht="26.25" customHeight="1" x14ac:dyDescent="0.2">
      <c r="A112" s="85"/>
      <c r="B112" s="46">
        <v>107</v>
      </c>
      <c r="C112" s="40" t="s">
        <v>25</v>
      </c>
      <c r="D112" s="41" t="s">
        <v>26</v>
      </c>
      <c r="E112" s="42" t="s">
        <v>27</v>
      </c>
      <c r="F112" s="54">
        <v>39402</v>
      </c>
      <c r="G112" s="54">
        <f t="shared" si="18"/>
        <v>39416</v>
      </c>
      <c r="H112" s="55">
        <v>14</v>
      </c>
      <c r="I112" s="55" t="s">
        <v>0</v>
      </c>
      <c r="J112" s="56" t="s">
        <v>2</v>
      </c>
      <c r="K112" s="57">
        <v>0</v>
      </c>
      <c r="L112" s="56" t="s">
        <v>2</v>
      </c>
      <c r="M112" s="16">
        <v>53570000000</v>
      </c>
      <c r="N112" s="16">
        <v>53767909008</v>
      </c>
      <c r="O112" s="57">
        <v>1</v>
      </c>
      <c r="P112" s="57">
        <v>9.5000000000000001E-2</v>
      </c>
      <c r="Q112" s="57">
        <v>9.5000000000000001E-2</v>
      </c>
      <c r="R112" s="16">
        <f>R111-M108+M112</f>
        <v>203905618505.94</v>
      </c>
      <c r="S112" s="16">
        <f>S111-N108+N112</f>
        <v>205051627152</v>
      </c>
      <c r="T112" s="17">
        <f t="shared" si="17"/>
        <v>5089150000</v>
      </c>
      <c r="U112" s="18"/>
      <c r="V112" s="19"/>
      <c r="W112" s="19"/>
      <c r="X112" s="19"/>
    </row>
    <row r="113" spans="1:24" ht="26.25" customHeight="1" x14ac:dyDescent="0.2">
      <c r="A113" s="85"/>
      <c r="B113" s="46">
        <v>108</v>
      </c>
      <c r="C113" s="40" t="s">
        <v>25</v>
      </c>
      <c r="D113" s="41" t="s">
        <v>26</v>
      </c>
      <c r="E113" s="42" t="s">
        <v>27</v>
      </c>
      <c r="F113" s="54">
        <v>39407</v>
      </c>
      <c r="G113" s="54">
        <f t="shared" si="18"/>
        <v>39421</v>
      </c>
      <c r="H113" s="55">
        <v>14</v>
      </c>
      <c r="I113" s="55" t="s">
        <v>0</v>
      </c>
      <c r="J113" s="56" t="s">
        <v>2</v>
      </c>
      <c r="K113" s="57">
        <v>0</v>
      </c>
      <c r="L113" s="56" t="s">
        <v>2</v>
      </c>
      <c r="M113" s="16">
        <v>42080000000</v>
      </c>
      <c r="N113" s="16">
        <v>42235460352</v>
      </c>
      <c r="O113" s="57">
        <v>1</v>
      </c>
      <c r="P113" s="57">
        <v>9.5000000000000001E-2</v>
      </c>
      <c r="Q113" s="57">
        <v>9.5000000000000001E-2</v>
      </c>
      <c r="R113" s="16">
        <f>R112-M109+M113</f>
        <v>199215618505.94</v>
      </c>
      <c r="S113" s="16">
        <f>S112-N109+N113</f>
        <v>200344300416</v>
      </c>
      <c r="T113" s="17">
        <f t="shared" si="17"/>
        <v>3997600000</v>
      </c>
      <c r="U113" s="18"/>
      <c r="V113" s="19"/>
      <c r="W113" s="19"/>
      <c r="X113" s="19"/>
    </row>
    <row r="114" spans="1:24" ht="26.25" customHeight="1" x14ac:dyDescent="0.2">
      <c r="A114" s="85"/>
      <c r="B114" s="46">
        <v>109</v>
      </c>
      <c r="C114" s="40" t="s">
        <v>25</v>
      </c>
      <c r="D114" s="41" t="s">
        <v>26</v>
      </c>
      <c r="E114" s="42" t="s">
        <v>27</v>
      </c>
      <c r="F114" s="54">
        <v>39409</v>
      </c>
      <c r="G114" s="54">
        <f t="shared" si="18"/>
        <v>39423</v>
      </c>
      <c r="H114" s="55">
        <v>14</v>
      </c>
      <c r="I114" s="55" t="s">
        <v>0</v>
      </c>
      <c r="J114" s="56" t="s">
        <v>2</v>
      </c>
      <c r="K114" s="57">
        <v>0</v>
      </c>
      <c r="L114" s="56" t="s">
        <v>2</v>
      </c>
      <c r="M114" s="16">
        <v>48700000000</v>
      </c>
      <c r="N114" s="16">
        <v>48879917280</v>
      </c>
      <c r="O114" s="57">
        <v>1</v>
      </c>
      <c r="P114" s="57">
        <v>9.5000000000000001E-2</v>
      </c>
      <c r="Q114" s="57">
        <v>9.5000000000000001E-2</v>
      </c>
      <c r="R114" s="16">
        <f>R113-44030000000+M114</f>
        <v>203885618505.94</v>
      </c>
      <c r="S114" s="16">
        <f>S113-44192664432+N114</f>
        <v>205031553264</v>
      </c>
      <c r="T114" s="17">
        <f t="shared" si="17"/>
        <v>4626500000</v>
      </c>
      <c r="U114" s="18"/>
      <c r="V114" s="19"/>
      <c r="W114" s="19"/>
      <c r="X114" s="19"/>
    </row>
    <row r="115" spans="1:24" ht="26.25" customHeight="1" x14ac:dyDescent="0.2">
      <c r="A115" s="85"/>
      <c r="B115" s="46">
        <v>110</v>
      </c>
      <c r="C115" s="40" t="s">
        <v>29</v>
      </c>
      <c r="D115" s="41" t="s">
        <v>28</v>
      </c>
      <c r="E115" s="42" t="s">
        <v>30</v>
      </c>
      <c r="F115" s="54">
        <v>39412</v>
      </c>
      <c r="G115" s="54">
        <f t="shared" si="18"/>
        <v>39594</v>
      </c>
      <c r="H115" s="55">
        <v>182</v>
      </c>
      <c r="I115" s="55" t="s">
        <v>0</v>
      </c>
      <c r="J115" s="56">
        <v>1500000000</v>
      </c>
      <c r="K115" s="57">
        <v>0</v>
      </c>
      <c r="L115" s="56">
        <v>1500000000</v>
      </c>
      <c r="M115" s="16">
        <v>1429540430</v>
      </c>
      <c r="N115" s="16">
        <v>1500000000</v>
      </c>
      <c r="O115" s="57">
        <v>1</v>
      </c>
      <c r="P115" s="57">
        <v>9.7699999999999995E-2</v>
      </c>
      <c r="Q115" s="57">
        <v>9.7500000000000003E-2</v>
      </c>
      <c r="R115" s="16">
        <f>+R114-M57+M115</f>
        <v>203889264546.54001</v>
      </c>
      <c r="S115" s="16">
        <f>+S114-N57+N115</f>
        <v>205031553264</v>
      </c>
      <c r="T115" s="17">
        <f t="shared" si="17"/>
        <v>139380191.92500001</v>
      </c>
      <c r="U115" s="18"/>
      <c r="V115" s="19"/>
      <c r="W115" s="19"/>
      <c r="X115" s="19"/>
    </row>
    <row r="116" spans="1:24" ht="26.25" customHeight="1" x14ac:dyDescent="0.2">
      <c r="A116" s="85"/>
      <c r="B116" s="46">
        <v>111</v>
      </c>
      <c r="C116" s="40" t="s">
        <v>25</v>
      </c>
      <c r="D116" s="41" t="s">
        <v>26</v>
      </c>
      <c r="E116" s="42" t="s">
        <v>27</v>
      </c>
      <c r="F116" s="54">
        <v>39414</v>
      </c>
      <c r="G116" s="54">
        <f t="shared" si="18"/>
        <v>39428</v>
      </c>
      <c r="H116" s="55">
        <v>14</v>
      </c>
      <c r="I116" s="55" t="s">
        <v>0</v>
      </c>
      <c r="J116" s="56" t="s">
        <v>2</v>
      </c>
      <c r="K116" s="57">
        <v>0</v>
      </c>
      <c r="L116" s="56" t="s">
        <v>2</v>
      </c>
      <c r="M116" s="16">
        <v>60915000000</v>
      </c>
      <c r="N116" s="16">
        <v>61140044376</v>
      </c>
      <c r="O116" s="57">
        <v>1</v>
      </c>
      <c r="P116" s="57">
        <v>9.5000000000000001E-2</v>
      </c>
      <c r="Q116" s="57">
        <v>9.5000000000000001E-2</v>
      </c>
      <c r="R116" s="16">
        <f>+R115-M111+M116</f>
        <v>213844264546.54001</v>
      </c>
      <c r="S116" s="16">
        <f>+S115-N111+N116</f>
        <v>215023331016</v>
      </c>
      <c r="T116" s="17">
        <f t="shared" si="17"/>
        <v>5786925000</v>
      </c>
      <c r="U116" s="18"/>
      <c r="V116" s="19"/>
      <c r="W116" s="19"/>
      <c r="X116" s="19"/>
    </row>
    <row r="117" spans="1:24" ht="26.25" customHeight="1" x14ac:dyDescent="0.2">
      <c r="A117" s="85"/>
      <c r="B117" s="46">
        <v>112</v>
      </c>
      <c r="C117" s="40" t="s">
        <v>25</v>
      </c>
      <c r="D117" s="41" t="s">
        <v>26</v>
      </c>
      <c r="E117" s="42" t="s">
        <v>27</v>
      </c>
      <c r="F117" s="54">
        <v>39416</v>
      </c>
      <c r="G117" s="54">
        <f t="shared" si="18"/>
        <v>39430</v>
      </c>
      <c r="H117" s="55">
        <v>14</v>
      </c>
      <c r="I117" s="55" t="s">
        <v>0</v>
      </c>
      <c r="J117" s="56" t="s">
        <v>2</v>
      </c>
      <c r="K117" s="57">
        <v>0</v>
      </c>
      <c r="L117" s="56" t="s">
        <v>2</v>
      </c>
      <c r="M117" s="16">
        <v>55885000000</v>
      </c>
      <c r="N117" s="16">
        <v>56091461544</v>
      </c>
      <c r="O117" s="57">
        <v>1</v>
      </c>
      <c r="P117" s="57">
        <v>9.5000000000000001E-2</v>
      </c>
      <c r="Q117" s="57">
        <v>9.5000000000000001E-2</v>
      </c>
      <c r="R117" s="16">
        <f>R116-M112+M117</f>
        <v>216159264546.54001</v>
      </c>
      <c r="S117" s="16">
        <f>+S116-N112+N117</f>
        <v>217346883552</v>
      </c>
      <c r="T117" s="17">
        <f t="shared" si="17"/>
        <v>5309075000</v>
      </c>
      <c r="U117" s="18"/>
      <c r="V117" s="19"/>
      <c r="W117" s="19"/>
      <c r="X117" s="19"/>
    </row>
    <row r="118" spans="1:24" ht="26.25" customHeight="1" x14ac:dyDescent="0.2">
      <c r="A118" s="85"/>
      <c r="B118" s="46">
        <v>113</v>
      </c>
      <c r="C118" s="40" t="s">
        <v>25</v>
      </c>
      <c r="D118" s="41" t="s">
        <v>26</v>
      </c>
      <c r="E118" s="42" t="s">
        <v>27</v>
      </c>
      <c r="F118" s="54">
        <v>39421</v>
      </c>
      <c r="G118" s="54">
        <f t="shared" ref="G118:G124" si="19">+F118+H118</f>
        <v>39435</v>
      </c>
      <c r="H118" s="55">
        <v>14</v>
      </c>
      <c r="I118" s="55" t="s">
        <v>0</v>
      </c>
      <c r="J118" s="56" t="s">
        <v>2</v>
      </c>
      <c r="K118" s="57">
        <v>0</v>
      </c>
      <c r="L118" s="56" t="s">
        <v>2</v>
      </c>
      <c r="M118" s="16">
        <v>41970000000</v>
      </c>
      <c r="N118" s="16">
        <v>42125053968</v>
      </c>
      <c r="O118" s="57">
        <v>1</v>
      </c>
      <c r="P118" s="57">
        <v>9.5000000000000001E-2</v>
      </c>
      <c r="Q118" s="57">
        <v>9.5000000000000001E-2</v>
      </c>
      <c r="R118" s="16">
        <f>R117-42080000000+M118</f>
        <v>216049264546.54001</v>
      </c>
      <c r="S118" s="16">
        <f>S117-42235460352+N118</f>
        <v>217236477168</v>
      </c>
      <c r="T118" s="17">
        <f t="shared" si="17"/>
        <v>3987150000</v>
      </c>
      <c r="U118" s="18"/>
      <c r="V118" s="19"/>
      <c r="W118" s="19"/>
      <c r="X118" s="19"/>
    </row>
    <row r="119" spans="1:24" ht="26.25" customHeight="1" x14ac:dyDescent="0.2">
      <c r="A119" s="85"/>
      <c r="B119" s="46">
        <v>114</v>
      </c>
      <c r="C119" s="40" t="s">
        <v>25</v>
      </c>
      <c r="D119" s="41" t="s">
        <v>26</v>
      </c>
      <c r="E119" s="42" t="s">
        <v>27</v>
      </c>
      <c r="F119" s="54">
        <v>39423</v>
      </c>
      <c r="G119" s="54">
        <f t="shared" si="19"/>
        <v>39437</v>
      </c>
      <c r="H119" s="55">
        <v>14</v>
      </c>
      <c r="I119" s="55" t="s">
        <v>0</v>
      </c>
      <c r="J119" s="56" t="s">
        <v>2</v>
      </c>
      <c r="K119" s="57">
        <v>0</v>
      </c>
      <c r="L119" s="56" t="s">
        <v>2</v>
      </c>
      <c r="M119" s="16">
        <v>47630000000</v>
      </c>
      <c r="N119" s="16">
        <v>47805964272</v>
      </c>
      <c r="O119" s="57">
        <v>1</v>
      </c>
      <c r="P119" s="57">
        <v>9.5000000000000001E-2</v>
      </c>
      <c r="Q119" s="57">
        <v>9.5000000000000001E-2</v>
      </c>
      <c r="R119" s="16">
        <f>R118-48700000000+M119</f>
        <v>214979264546.54001</v>
      </c>
      <c r="S119" s="16">
        <f>S118-48879917280+N119</f>
        <v>216162524160</v>
      </c>
      <c r="T119" s="17">
        <f t="shared" si="17"/>
        <v>4524850000</v>
      </c>
      <c r="U119" s="18"/>
      <c r="V119" s="19"/>
      <c r="W119" s="19"/>
      <c r="X119" s="19"/>
    </row>
    <row r="120" spans="1:24" ht="26.25" customHeight="1" x14ac:dyDescent="0.2">
      <c r="A120" s="85"/>
      <c r="B120" s="46">
        <v>115</v>
      </c>
      <c r="C120" s="40" t="s">
        <v>25</v>
      </c>
      <c r="D120" s="41" t="s">
        <v>26</v>
      </c>
      <c r="E120" s="42" t="s">
        <v>27</v>
      </c>
      <c r="F120" s="54">
        <v>39428</v>
      </c>
      <c r="G120" s="54">
        <f t="shared" si="19"/>
        <v>39442</v>
      </c>
      <c r="H120" s="55">
        <v>14</v>
      </c>
      <c r="I120" s="55" t="s">
        <v>0</v>
      </c>
      <c r="J120" s="56" t="s">
        <v>2</v>
      </c>
      <c r="K120" s="57">
        <v>0</v>
      </c>
      <c r="L120" s="56" t="s">
        <v>2</v>
      </c>
      <c r="M120" s="16">
        <v>54165000000</v>
      </c>
      <c r="N120" s="16">
        <v>54365107176</v>
      </c>
      <c r="O120" s="57">
        <v>1</v>
      </c>
      <c r="P120" s="57">
        <v>9.5000000000000001E-2</v>
      </c>
      <c r="Q120" s="57">
        <v>9.5000000000000001E-2</v>
      </c>
      <c r="R120" s="16">
        <f>+R119-M116-M64+M120</f>
        <v>206797149826.54001</v>
      </c>
      <c r="S120" s="16">
        <f>+S119-N64-N116+N120</f>
        <v>207887586960</v>
      </c>
      <c r="T120" s="17">
        <f t="shared" si="17"/>
        <v>5145675000</v>
      </c>
      <c r="U120" s="18"/>
      <c r="V120" s="19"/>
      <c r="W120" s="19"/>
      <c r="X120" s="19"/>
    </row>
    <row r="121" spans="1:24" ht="26.25" customHeight="1" x14ac:dyDescent="0.2">
      <c r="A121" s="85"/>
      <c r="B121" s="46">
        <v>116</v>
      </c>
      <c r="C121" s="40" t="s">
        <v>25</v>
      </c>
      <c r="D121" s="41" t="s">
        <v>26</v>
      </c>
      <c r="E121" s="42" t="s">
        <v>27</v>
      </c>
      <c r="F121" s="54">
        <v>39430</v>
      </c>
      <c r="G121" s="54">
        <f t="shared" si="19"/>
        <v>39444</v>
      </c>
      <c r="H121" s="55">
        <v>14</v>
      </c>
      <c r="I121" s="55" t="s">
        <v>0</v>
      </c>
      <c r="J121" s="56" t="s">
        <v>2</v>
      </c>
      <c r="K121" s="57">
        <v>0</v>
      </c>
      <c r="L121" s="56" t="s">
        <v>2</v>
      </c>
      <c r="M121" s="16">
        <v>53195000000</v>
      </c>
      <c r="N121" s="16">
        <v>53391523608</v>
      </c>
      <c r="O121" s="57">
        <v>1</v>
      </c>
      <c r="P121" s="57">
        <v>9.5000000000000001E-2</v>
      </c>
      <c r="Q121" s="57">
        <v>9.5000000000000001E-2</v>
      </c>
      <c r="R121" s="16">
        <f>+R120-M117+M121</f>
        <v>204107149826.54001</v>
      </c>
      <c r="S121" s="16">
        <f>+S120-N117+N121</f>
        <v>205187649024</v>
      </c>
      <c r="T121" s="17">
        <f t="shared" si="17"/>
        <v>5053525000</v>
      </c>
      <c r="U121" s="18"/>
      <c r="V121" s="19"/>
      <c r="W121" s="19"/>
      <c r="X121" s="19"/>
    </row>
    <row r="122" spans="1:24" ht="26.25" customHeight="1" x14ac:dyDescent="0.2">
      <c r="A122" s="85"/>
      <c r="B122" s="46">
        <v>117</v>
      </c>
      <c r="C122" s="40" t="s">
        <v>25</v>
      </c>
      <c r="D122" s="41" t="s">
        <v>26</v>
      </c>
      <c r="E122" s="42" t="s">
        <v>27</v>
      </c>
      <c r="F122" s="54">
        <v>39435</v>
      </c>
      <c r="G122" s="54">
        <f t="shared" si="19"/>
        <v>39450</v>
      </c>
      <c r="H122" s="55">
        <v>15</v>
      </c>
      <c r="I122" s="55" t="s">
        <v>0</v>
      </c>
      <c r="J122" s="56" t="s">
        <v>2</v>
      </c>
      <c r="K122" s="57">
        <v>0</v>
      </c>
      <c r="L122" s="56" t="s">
        <v>2</v>
      </c>
      <c r="M122" s="16">
        <v>48350000000</v>
      </c>
      <c r="N122" s="16">
        <v>48541383805</v>
      </c>
      <c r="O122" s="57">
        <v>1</v>
      </c>
      <c r="P122" s="57">
        <v>9.5000000000000001E-2</v>
      </c>
      <c r="Q122" s="57">
        <v>9.5000000000000001E-2</v>
      </c>
      <c r="R122" s="16">
        <f>+R121-M118+M122</f>
        <v>210487149826.54001</v>
      </c>
      <c r="S122" s="16">
        <f>+S121-N118+N122</f>
        <v>211603978861</v>
      </c>
      <c r="T122" s="17">
        <f t="shared" si="17"/>
        <v>4593250000</v>
      </c>
      <c r="U122" s="18"/>
      <c r="V122" s="19"/>
      <c r="W122" s="19"/>
      <c r="X122" s="19"/>
    </row>
    <row r="123" spans="1:24" ht="26.25" customHeight="1" x14ac:dyDescent="0.2">
      <c r="A123" s="85"/>
      <c r="B123" s="46">
        <v>118</v>
      </c>
      <c r="C123" s="40" t="s">
        <v>25</v>
      </c>
      <c r="D123" s="41" t="s">
        <v>26</v>
      </c>
      <c r="E123" s="42" t="s">
        <v>27</v>
      </c>
      <c r="F123" s="54">
        <v>39437</v>
      </c>
      <c r="G123" s="54">
        <f t="shared" si="19"/>
        <v>39451</v>
      </c>
      <c r="H123" s="55">
        <v>14</v>
      </c>
      <c r="I123" s="55" t="s">
        <v>0</v>
      </c>
      <c r="J123" s="56" t="s">
        <v>2</v>
      </c>
      <c r="K123" s="57">
        <v>0</v>
      </c>
      <c r="L123" s="56" t="s">
        <v>2</v>
      </c>
      <c r="M123" s="16">
        <v>52205000000</v>
      </c>
      <c r="N123" s="16">
        <v>52397866152</v>
      </c>
      <c r="O123" s="57">
        <v>1</v>
      </c>
      <c r="P123" s="57">
        <v>9.5000000000000001E-2</v>
      </c>
      <c r="Q123" s="57">
        <v>9.5000000000000001E-2</v>
      </c>
      <c r="R123" s="16">
        <f>R122-47630000000+M123</f>
        <v>215062149826.54001</v>
      </c>
      <c r="S123" s="16">
        <f>S122-47805964272+N123</f>
        <v>216195880741</v>
      </c>
      <c r="T123" s="17">
        <f t="shared" si="17"/>
        <v>4959475000</v>
      </c>
      <c r="U123" s="18"/>
      <c r="V123" s="19"/>
      <c r="W123" s="19"/>
      <c r="X123" s="19"/>
    </row>
    <row r="124" spans="1:24" ht="26.25" customHeight="1" x14ac:dyDescent="0.2">
      <c r="A124" s="86"/>
      <c r="B124" s="46">
        <v>119</v>
      </c>
      <c r="C124" s="40" t="s">
        <v>29</v>
      </c>
      <c r="D124" s="41" t="s">
        <v>28</v>
      </c>
      <c r="E124" s="42" t="s">
        <v>30</v>
      </c>
      <c r="F124" s="54">
        <v>39440</v>
      </c>
      <c r="G124" s="54">
        <f t="shared" si="19"/>
        <v>39622</v>
      </c>
      <c r="H124" s="55">
        <v>182</v>
      </c>
      <c r="I124" s="55" t="s">
        <v>0</v>
      </c>
      <c r="J124" s="56">
        <v>1500000000</v>
      </c>
      <c r="K124" s="57">
        <v>0</v>
      </c>
      <c r="L124" s="56">
        <v>1500000000</v>
      </c>
      <c r="M124" s="16">
        <v>1430212039.5</v>
      </c>
      <c r="N124" s="16">
        <v>1500000000</v>
      </c>
      <c r="O124" s="57">
        <v>1</v>
      </c>
      <c r="P124" s="57">
        <v>9.69E-2</v>
      </c>
      <c r="Q124" s="57">
        <v>9.6500000000000002E-2</v>
      </c>
      <c r="R124" s="16">
        <f>+R123+M124</f>
        <v>216492361866.04001</v>
      </c>
      <c r="S124" s="16">
        <f>+S123+N124</f>
        <v>217695880741</v>
      </c>
      <c r="T124" s="17">
        <f t="shared" si="17"/>
        <v>138015461.81174999</v>
      </c>
      <c r="U124" s="18"/>
      <c r="V124" s="19"/>
      <c r="W124" s="19"/>
      <c r="X124" s="19"/>
    </row>
    <row r="125" spans="1:24" ht="26.25" customHeight="1" x14ac:dyDescent="0.2">
      <c r="A125" s="86"/>
      <c r="B125" s="46">
        <v>120</v>
      </c>
      <c r="C125" s="40" t="s">
        <v>25</v>
      </c>
      <c r="D125" s="41" t="s">
        <v>26</v>
      </c>
      <c r="E125" s="42" t="s">
        <v>27</v>
      </c>
      <c r="F125" s="54">
        <v>39442</v>
      </c>
      <c r="G125" s="54">
        <f>+F125+H125</f>
        <v>39456</v>
      </c>
      <c r="H125" s="55">
        <v>14</v>
      </c>
      <c r="I125" s="55" t="s">
        <v>0</v>
      </c>
      <c r="J125" s="56" t="s">
        <v>2</v>
      </c>
      <c r="K125" s="57">
        <v>0</v>
      </c>
      <c r="L125" s="56" t="s">
        <v>2</v>
      </c>
      <c r="M125" s="16">
        <v>53005000000</v>
      </c>
      <c r="N125" s="16">
        <v>53200821672</v>
      </c>
      <c r="O125" s="57">
        <v>1</v>
      </c>
      <c r="P125" s="57">
        <v>9.5000000000000001E-2</v>
      </c>
      <c r="Q125" s="57">
        <v>9.5000000000000001E-2</v>
      </c>
      <c r="R125" s="16">
        <f>+R124-M120+M125</f>
        <v>215332361866.04001</v>
      </c>
      <c r="S125" s="16">
        <f>+S124-N120+N125</f>
        <v>216531595237</v>
      </c>
      <c r="T125" s="17">
        <f t="shared" si="17"/>
        <v>5035475000</v>
      </c>
      <c r="U125" s="18"/>
      <c r="V125" s="19"/>
      <c r="W125" s="19"/>
      <c r="X125" s="19"/>
    </row>
    <row r="126" spans="1:24" ht="26.25" customHeight="1" x14ac:dyDescent="0.2">
      <c r="A126" s="87"/>
      <c r="B126" s="50">
        <v>121</v>
      </c>
      <c r="C126" s="43" t="s">
        <v>25</v>
      </c>
      <c r="D126" s="44" t="s">
        <v>26</v>
      </c>
      <c r="E126" s="45" t="s">
        <v>27</v>
      </c>
      <c r="F126" s="67">
        <v>39444</v>
      </c>
      <c r="G126" s="67">
        <f>+F126+H126</f>
        <v>39458</v>
      </c>
      <c r="H126" s="68">
        <v>14</v>
      </c>
      <c r="I126" s="68" t="s">
        <v>0</v>
      </c>
      <c r="J126" s="69" t="s">
        <v>2</v>
      </c>
      <c r="K126" s="70">
        <v>0</v>
      </c>
      <c r="L126" s="69" t="s">
        <v>2</v>
      </c>
      <c r="M126" s="15">
        <v>54405000000</v>
      </c>
      <c r="N126" s="15">
        <v>54616575604.5</v>
      </c>
      <c r="O126" s="70">
        <v>1</v>
      </c>
      <c r="P126" s="70">
        <v>0.1</v>
      </c>
      <c r="Q126" s="70">
        <v>0.1</v>
      </c>
      <c r="R126" s="15">
        <f>+R125-M121+M126</f>
        <v>216542361866.04001</v>
      </c>
      <c r="S126" s="15">
        <f>+S125-N121+N126</f>
        <v>217756647233.5</v>
      </c>
      <c r="T126" s="17">
        <f t="shared" si="17"/>
        <v>5440500000</v>
      </c>
      <c r="U126" s="18"/>
      <c r="V126" s="19"/>
      <c r="W126" s="19"/>
      <c r="X126" s="19"/>
    </row>
    <row r="127" spans="1:24" ht="26.25" customHeight="1" x14ac:dyDescent="0.2">
      <c r="A127" s="71"/>
      <c r="B127" s="72"/>
      <c r="C127" s="73"/>
      <c r="D127" s="73"/>
      <c r="E127" s="73"/>
      <c r="F127" s="74"/>
      <c r="G127" s="73"/>
      <c r="H127" s="73"/>
      <c r="I127" s="73"/>
      <c r="J127" s="73"/>
      <c r="K127" s="73"/>
      <c r="L127" s="75"/>
      <c r="M127" s="20">
        <f>SUM(M5:M126)</f>
        <v>3873834491773.23</v>
      </c>
      <c r="N127" s="72"/>
      <c r="O127" s="73"/>
      <c r="P127" s="73"/>
      <c r="Q127" s="21">
        <v>0.104</v>
      </c>
      <c r="R127" s="72"/>
      <c r="S127" s="75"/>
      <c r="T127" s="17">
        <f>SUM(T5:T126)</f>
        <v>402870171387.46643</v>
      </c>
      <c r="U127" s="18"/>
      <c r="V127" s="19"/>
      <c r="W127" s="19"/>
      <c r="X127" s="19"/>
    </row>
    <row r="128" spans="1:24" ht="14.25" customHeight="1" x14ac:dyDescent="0.2">
      <c r="A128" s="11"/>
      <c r="B128" s="11"/>
      <c r="C128" s="11"/>
      <c r="D128" s="11"/>
      <c r="E128" s="11"/>
      <c r="F128" s="12"/>
      <c r="G128" s="11"/>
      <c r="H128" s="11"/>
      <c r="I128" s="11"/>
      <c r="J128" s="11"/>
      <c r="K128" s="11"/>
      <c r="L128" s="11"/>
      <c r="M128" s="13"/>
      <c r="N128" s="11"/>
      <c r="O128" s="11"/>
      <c r="P128" s="11"/>
      <c r="Q128" s="14"/>
      <c r="R128" s="11"/>
      <c r="S128" s="11"/>
      <c r="T128" s="17"/>
      <c r="U128" s="18"/>
      <c r="V128" s="19"/>
      <c r="W128" s="19"/>
      <c r="X128" s="19"/>
    </row>
    <row r="129" spans="1:21" x14ac:dyDescent="0.2">
      <c r="A129" s="6" t="s">
        <v>1</v>
      </c>
      <c r="C129" s="5"/>
      <c r="D129" s="5"/>
      <c r="E129" s="5"/>
      <c r="F129" s="5"/>
      <c r="G129" s="5"/>
      <c r="H129" s="5"/>
      <c r="I129" s="5"/>
      <c r="J129" s="10"/>
      <c r="L129" s="1"/>
      <c r="M129" s="1"/>
      <c r="O129" s="2"/>
      <c r="R129" s="9"/>
      <c r="S129" s="9"/>
      <c r="T129" s="33"/>
      <c r="U129" s="2"/>
    </row>
    <row r="130" spans="1:21" x14ac:dyDescent="0.2">
      <c r="A130" s="52" t="s">
        <v>32</v>
      </c>
      <c r="B130" s="53"/>
      <c r="C130" s="8"/>
      <c r="D130" s="8"/>
      <c r="E130" s="8"/>
      <c r="F130" s="8"/>
      <c r="G130" s="5"/>
      <c r="H130" s="5"/>
      <c r="I130" s="5"/>
      <c r="J130" s="10"/>
      <c r="L130" s="1"/>
      <c r="M130" s="1"/>
      <c r="O130" s="2"/>
      <c r="R130" s="9"/>
      <c r="S130" s="9"/>
      <c r="T130" s="33"/>
      <c r="U130" s="2"/>
    </row>
    <row r="131" spans="1:21" x14ac:dyDescent="0.2">
      <c r="A131" s="51" t="s">
        <v>31</v>
      </c>
      <c r="C131" s="5"/>
      <c r="D131" s="5"/>
      <c r="E131" s="5"/>
      <c r="F131" s="5"/>
      <c r="G131" s="5"/>
      <c r="H131" s="5"/>
      <c r="I131" s="5"/>
      <c r="J131" s="10"/>
      <c r="L131" s="1"/>
      <c r="M131" s="1"/>
      <c r="O131" s="2"/>
      <c r="R131" s="9"/>
      <c r="S131" s="9"/>
      <c r="T131" s="33"/>
      <c r="U131" s="2"/>
    </row>
    <row r="132" spans="1:21" x14ac:dyDescent="0.2">
      <c r="A132" s="5" t="s">
        <v>33</v>
      </c>
      <c r="C132" s="5"/>
      <c r="D132" s="5"/>
      <c r="E132" s="5"/>
      <c r="F132" s="5"/>
      <c r="G132" s="5"/>
      <c r="H132" s="5"/>
      <c r="I132" s="5"/>
      <c r="J132" s="10"/>
      <c r="L132" s="1"/>
      <c r="M132" s="1"/>
      <c r="O132" s="2"/>
      <c r="R132" s="9"/>
      <c r="S132" s="9"/>
      <c r="T132" s="33"/>
      <c r="U132" s="2"/>
    </row>
    <row r="133" spans="1:21" x14ac:dyDescent="0.2">
      <c r="A133" s="4" t="s">
        <v>34</v>
      </c>
      <c r="C133" s="5"/>
      <c r="D133" s="5"/>
      <c r="E133" s="5"/>
      <c r="F133" s="5"/>
      <c r="G133" s="5"/>
      <c r="H133" s="5"/>
      <c r="I133" s="5"/>
      <c r="J133" s="5"/>
      <c r="M133" s="1"/>
      <c r="N133" s="1"/>
      <c r="R133" s="1"/>
      <c r="S133" s="1"/>
      <c r="T133" s="33"/>
      <c r="U133" s="34"/>
    </row>
    <row r="134" spans="1:21" x14ac:dyDescent="0.2">
      <c r="A134" s="5" t="s">
        <v>23</v>
      </c>
      <c r="C134" s="5"/>
      <c r="D134" s="5"/>
      <c r="E134" s="5"/>
      <c r="F134" s="5"/>
      <c r="G134" s="5"/>
      <c r="H134" s="5"/>
      <c r="I134" s="5"/>
      <c r="J134" s="5"/>
      <c r="L134" s="1"/>
      <c r="M134" s="1"/>
      <c r="N134" s="1"/>
      <c r="O134" s="1"/>
      <c r="P134" s="1"/>
      <c r="Q134" s="1"/>
      <c r="R134" s="3"/>
      <c r="S134" s="3"/>
      <c r="U134" s="33"/>
    </row>
    <row r="135" spans="1:21" ht="15" customHeight="1" x14ac:dyDescent="0.2">
      <c r="A135" s="88" t="s">
        <v>35</v>
      </c>
      <c r="B135" s="88"/>
      <c r="C135" s="88"/>
      <c r="D135" s="88"/>
      <c r="E135" s="88"/>
      <c r="F135" s="88"/>
      <c r="G135" s="88"/>
      <c r="H135" s="88"/>
      <c r="I135" s="88"/>
      <c r="J135" s="88"/>
      <c r="K135" s="88"/>
      <c r="L135" s="88"/>
      <c r="T135" s="33"/>
      <c r="U135" s="33"/>
    </row>
    <row r="136" spans="1:21" ht="27" customHeight="1" x14ac:dyDescent="0.2">
      <c r="A136" s="90" t="s">
        <v>36</v>
      </c>
      <c r="B136" s="90"/>
      <c r="C136" s="90"/>
      <c r="D136" s="90"/>
      <c r="E136" s="90"/>
      <c r="F136" s="90"/>
      <c r="G136" s="90"/>
      <c r="H136" s="90"/>
      <c r="I136" s="89" t="s">
        <v>37</v>
      </c>
      <c r="J136" s="90"/>
      <c r="K136" s="90"/>
      <c r="L136" s="90"/>
      <c r="M136" s="90"/>
      <c r="N136" s="90"/>
      <c r="O136" s="90"/>
      <c r="P136" s="90"/>
      <c r="S136" s="3"/>
      <c r="U136" s="33"/>
    </row>
    <row r="137" spans="1:21" ht="22.5" customHeight="1" x14ac:dyDescent="0.2">
      <c r="A137" s="81" t="s">
        <v>38</v>
      </c>
      <c r="B137" s="81"/>
      <c r="C137" s="81"/>
      <c r="D137" s="81"/>
      <c r="E137" s="81"/>
      <c r="F137" s="81"/>
      <c r="G137" s="81"/>
      <c r="H137" s="81"/>
      <c r="I137" s="81"/>
      <c r="J137" s="81"/>
      <c r="K137" s="89" t="s">
        <v>39</v>
      </c>
      <c r="L137" s="90"/>
      <c r="M137" s="90"/>
      <c r="N137" s="90"/>
      <c r="O137" s="90"/>
      <c r="P137" s="90"/>
      <c r="Q137" s="90"/>
      <c r="R137" s="35"/>
      <c r="S137" s="35"/>
      <c r="T137" s="35"/>
      <c r="U137" s="1"/>
    </row>
    <row r="138" spans="1:21" ht="15" customHeight="1" x14ac:dyDescent="0.2">
      <c r="A138" s="7" t="s">
        <v>40</v>
      </c>
      <c r="C138" s="8"/>
      <c r="D138" s="8"/>
      <c r="E138" s="8"/>
      <c r="F138" s="5"/>
      <c r="G138" s="5"/>
      <c r="H138" s="5"/>
      <c r="I138" s="4" t="s">
        <v>41</v>
      </c>
      <c r="J138" s="5"/>
    </row>
    <row r="139" spans="1:21" ht="15" customHeight="1" x14ac:dyDescent="0.2">
      <c r="A139" s="7" t="s">
        <v>42</v>
      </c>
      <c r="C139" s="8"/>
      <c r="D139" s="8"/>
      <c r="E139" s="8"/>
      <c r="F139" s="5"/>
      <c r="G139" s="5"/>
      <c r="H139" s="5"/>
      <c r="I139" s="5"/>
      <c r="J139" s="5"/>
      <c r="L139" s="5" t="s">
        <v>43</v>
      </c>
    </row>
    <row r="140" spans="1:21" ht="22.5" customHeight="1" x14ac:dyDescent="0.2">
      <c r="A140" s="7" t="s">
        <v>44</v>
      </c>
      <c r="B140" s="5"/>
      <c r="C140" s="5"/>
      <c r="D140" s="5"/>
      <c r="E140" s="5"/>
      <c r="F140" s="5"/>
      <c r="G140" s="5"/>
      <c r="H140" s="5"/>
      <c r="I140" s="5"/>
      <c r="J140" s="5"/>
      <c r="M140" s="79" t="s">
        <v>45</v>
      </c>
      <c r="N140" s="80"/>
      <c r="O140" s="80"/>
      <c r="P140" s="80"/>
      <c r="Q140" s="80"/>
      <c r="R140" s="80"/>
      <c r="S140" s="80"/>
    </row>
    <row r="141" spans="1:21" x14ac:dyDescent="0.2">
      <c r="A141" s="7" t="s">
        <v>46</v>
      </c>
      <c r="O141" s="4" t="s">
        <v>47</v>
      </c>
    </row>
  </sheetData>
  <sheetProtection password="CF7A" sheet="1"/>
  <mergeCells count="27">
    <mergeCell ref="D3:D4"/>
    <mergeCell ref="A1:S1"/>
    <mergeCell ref="A3:A4"/>
    <mergeCell ref="A136:H136"/>
    <mergeCell ref="R3:S3"/>
    <mergeCell ref="B3:B4"/>
    <mergeCell ref="C3:C4"/>
    <mergeCell ref="E3:E4"/>
    <mergeCell ref="H3:H4"/>
    <mergeCell ref="Q3:Q4"/>
    <mergeCell ref="P3:P4"/>
    <mergeCell ref="F3:F4"/>
    <mergeCell ref="O3:O4"/>
    <mergeCell ref="M3:N3"/>
    <mergeCell ref="K3:K4"/>
    <mergeCell ref="L3:L4"/>
    <mergeCell ref="I3:I4"/>
    <mergeCell ref="M140:S140"/>
    <mergeCell ref="A137:J137"/>
    <mergeCell ref="J3:J4"/>
    <mergeCell ref="G3:G4"/>
    <mergeCell ref="A5:A41"/>
    <mergeCell ref="A43:A93"/>
    <mergeCell ref="A94:A126"/>
    <mergeCell ref="A135:L135"/>
    <mergeCell ref="I136:P136"/>
    <mergeCell ref="K137:Q137"/>
  </mergeCells>
  <phoneticPr fontId="2" type="noConversion"/>
  <printOptions horizontalCentered="1"/>
  <pageMargins left="0.59055118110236227" right="0.59055118110236227" top="1.1811023622047245" bottom="0.78740157480314965" header="0.39370078740157483" footer="0.39370078740157483"/>
  <pageSetup paperSize="9" scale="38" orientation="landscape" r:id="rId1"/>
  <headerFooter alignWithMargins="0">
    <oddHeader>&amp;L&amp;"Arial,Bold"NARODNA BANKA SRBIJE&amp;"Arial,Regular"
Sektor za poslove monetarnog sistema i politike</oddHeader>
    <oddFooter>&amp;L&amp;7Izvor: NBS
Dozvoljeno je preuzimanje i korišćenje baza podataka, ali NBS iz tehničkih razloga ne garantuje za njihovu verodostojnost i potpunost&amp;R&amp;P</oddFooter>
  </headerFooter>
  <rowBreaks count="4" manualBreakCount="4">
    <brk id="42" max="17" man="1"/>
    <brk id="79" max="18" man="1"/>
    <brk id="119" max="18" man="1"/>
    <brk id="7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2007</vt:lpstr>
      <vt:lpstr>'2007'!Print_Area</vt:lpstr>
      <vt:lpstr>'2007'!Print_Titles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Helpdesk</dc:creator>
  <cp:keywords> [SEC=JAVNO]</cp:keywords>
  <cp:lastModifiedBy>Andrijana Pusica</cp:lastModifiedBy>
  <cp:lastPrinted>2011-08-04T12:46:09Z</cp:lastPrinted>
  <dcterms:created xsi:type="dcterms:W3CDTF">2005-02-25T09:29:39Z</dcterms:created>
  <dcterms:modified xsi:type="dcterms:W3CDTF">2025-02-27T10:52:23Z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M_ProtectiveMarkingValue_Header">
    <vt:lpwstr>ЈАВНО</vt:lpwstr>
  </property>
  <property fmtid="{D5CDD505-2E9C-101B-9397-08002B2CF9AE}" pid="3" name="PM_ProtectiveMarkingValue_Footer">
    <vt:lpwstr>ЈАВНО</vt:lpwstr>
  </property>
  <property fmtid="{D5CDD505-2E9C-101B-9397-08002B2CF9AE}" pid="4" name="PM_Caveats_Count">
    <vt:lpwstr>0</vt:lpwstr>
  </property>
  <property fmtid="{D5CDD505-2E9C-101B-9397-08002B2CF9AE}" pid="5" name="PM_Originator_Hash_SHA1">
    <vt:lpwstr>2350646810D7E427E1489E3D4AAA94585917E545</vt:lpwstr>
  </property>
  <property fmtid="{D5CDD505-2E9C-101B-9397-08002B2CF9AE}" pid="6" name="PM_SecurityClassification">
    <vt:lpwstr>JAVNO</vt:lpwstr>
  </property>
  <property fmtid="{D5CDD505-2E9C-101B-9397-08002B2CF9AE}" pid="7" name="PM_DisplayValueSecClassificationWithQualifier">
    <vt:lpwstr>ЈАВНО</vt:lpwstr>
  </property>
  <property fmtid="{D5CDD505-2E9C-101B-9397-08002B2CF9AE}" pid="8" name="PM_Qualifier">
    <vt:lpwstr/>
  </property>
  <property fmtid="{D5CDD505-2E9C-101B-9397-08002B2CF9AE}" pid="9" name="PM_Hash_SHA1">
    <vt:lpwstr>16ACFC9B8B90F813DB3DE24248AD39352D03D18B</vt:lpwstr>
  </property>
  <property fmtid="{D5CDD505-2E9C-101B-9397-08002B2CF9AE}" pid="10" name="PM_ProtectiveMarkingImage_Header">
    <vt:lpwstr>C:\Program Files\Common Files\janusNET Shared\janusSEAL\Images\DocumentSlashBlue.png</vt:lpwstr>
  </property>
  <property fmtid="{D5CDD505-2E9C-101B-9397-08002B2CF9AE}" pid="11" name="PM_InsertionValue">
    <vt:lpwstr>JAVNO</vt:lpwstr>
  </property>
  <property fmtid="{D5CDD505-2E9C-101B-9397-08002B2CF9AE}" pid="12" name="PM_ProtectiveMarkingImage_Footer">
    <vt:lpwstr>C:\Program Files\Common Files\janusNET Shared\janusSEAL\Images\DocumentSlashBlue.png</vt:lpwstr>
  </property>
  <property fmtid="{D5CDD505-2E9C-101B-9397-08002B2CF9AE}" pid="13" name="PM_Namespace">
    <vt:lpwstr>NBS</vt:lpwstr>
  </property>
  <property fmtid="{D5CDD505-2E9C-101B-9397-08002B2CF9AE}" pid="14" name="PM_Version">
    <vt:lpwstr>v2</vt:lpwstr>
  </property>
  <property fmtid="{D5CDD505-2E9C-101B-9397-08002B2CF9AE}" pid="15" name="PM_Originating_FileId">
    <vt:lpwstr>3379D8787BF9476DA7229A9B771E334D</vt:lpwstr>
  </property>
  <property fmtid="{D5CDD505-2E9C-101B-9397-08002B2CF9AE}" pid="16" name="PM_OriginationTimeStamp">
    <vt:lpwstr>2025-02-27T10:52:23Z</vt:lpwstr>
  </property>
  <property fmtid="{D5CDD505-2E9C-101B-9397-08002B2CF9AE}" pid="17" name="PM_Hash_Version">
    <vt:lpwstr>2016.1</vt:lpwstr>
  </property>
  <property fmtid="{D5CDD505-2E9C-101B-9397-08002B2CF9AE}" pid="18" name="PM_Hash_Salt_Prev">
    <vt:lpwstr>D19733DD43E095B254B97D0B463A781A</vt:lpwstr>
  </property>
  <property fmtid="{D5CDD505-2E9C-101B-9397-08002B2CF9AE}" pid="19" name="PM_Hash_Salt">
    <vt:lpwstr>D19733DD43E095B254B97D0B463A781A</vt:lpwstr>
  </property>
  <property fmtid="{D5CDD505-2E9C-101B-9397-08002B2CF9AE}" pid="20" name="PM_PrintOutPlacement_XLS">
    <vt:lpwstr/>
  </property>
</Properties>
</file>