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ijana.rakovic\Desktop\SecurityAuctionTradeDayArchive\"/>
    </mc:Choice>
  </mc:AlternateContent>
  <xr:revisionPtr revIDLastSave="0" documentId="8_{266D607B-101A-448C-B36C-E1F449D8CB9F}" xr6:coauthVersionLast="47" xr6:coauthVersionMax="47" xr10:uidLastSave="{00000000-0000-0000-0000-000000000000}"/>
  <workbookProtection workbookPassword="CF7A" lockStructure="1"/>
  <bookViews>
    <workbookView xWindow="-120" yWindow="-120" windowWidth="20730" windowHeight="11160"/>
  </bookViews>
  <sheets>
    <sheet name="2008" sheetId="1" r:id="rId1"/>
  </sheets>
  <definedNames>
    <definedName name="_xlnm.Print_Area" localSheetId="0">'2008'!$A$1:$S$143</definedName>
    <definedName name="_xlnm.Print_Titles" localSheetId="0">'2008'!$1:$4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21" i="1" l="1"/>
  <c r="T122" i="1"/>
  <c r="M123" i="1"/>
  <c r="G122" i="1"/>
  <c r="G121" i="1"/>
  <c r="T120" i="1"/>
  <c r="G120" i="1"/>
  <c r="S36" i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R36" i="1"/>
  <c r="R37" i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T119" i="1"/>
  <c r="T5" i="1"/>
  <c r="T6" i="1"/>
  <c r="T123" i="1" s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8" i="1"/>
  <c r="G69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<sst xmlns="http://schemas.openxmlformats.org/spreadsheetml/2006/main" count="732" uniqueCount="48">
  <si>
    <t>BZ NBS</t>
  </si>
  <si>
    <t>NAPOMENE:</t>
  </si>
  <si>
    <t>-</t>
  </si>
  <si>
    <t>u dinarima/ in dinars</t>
  </si>
  <si>
    <t>Godina/
Year</t>
  </si>
  <si>
    <t>Red.br.aukcije/
Auction number</t>
  </si>
  <si>
    <t>Vrsta aukcije/
Type of auction</t>
  </si>
  <si>
    <t>Vrsta transakcije/
Type of transaction</t>
  </si>
  <si>
    <t>Datum aukcije/
Auction date</t>
  </si>
  <si>
    <t>Datum dospeća/
Maturity date</t>
  </si>
  <si>
    <t>Ročnost transakcija/
Maturity of transaction</t>
  </si>
  <si>
    <t>Vrsta HoV/
Type of securities</t>
  </si>
  <si>
    <t>Emitovano/
ponuđeno na prodaju - nominalni iznos HoV /Volume of issue
/offered for sale - nominal value of securities</t>
  </si>
  <si>
    <t>Procenat uvećanja/
Upward percentage adjustment</t>
  </si>
  <si>
    <t>Kupovna cena HoV (repo transakcije)/
Purchase price of securities (repo transactions)</t>
  </si>
  <si>
    <t>Prodato HoV/Sold securities</t>
  </si>
  <si>
    <t>Procenat realizacije/
Realization ratio</t>
  </si>
  <si>
    <t>Najviša prihvaćena kamatna stopa na aukciji (p.a.)/
The highest accepted interest rate on auction (p.a.)</t>
  </si>
  <si>
    <t>Prosečna ponderisana kamatna stopa (p.a.)/
Average weighted interest rate (p.a.)</t>
  </si>
  <si>
    <t>Stanje HoV/Outstanding of securities</t>
  </si>
  <si>
    <t>Diskontni iznos/
kupovna cena/
Discount value/
purchase price</t>
  </si>
  <si>
    <t>Nominalni iznos/
reotkupna cena/
Nominal value/
repurchase price</t>
  </si>
  <si>
    <t xml:space="preserve">   Realization ratio = volume of realization/offered amount by banks if offer is not announced by NBS. </t>
  </si>
  <si>
    <t>fiksna/fix</t>
  </si>
  <si>
    <t>var-viš/var-mult</t>
  </si>
  <si>
    <t>trajna prodaja/outright sell</t>
  </si>
  <si>
    <t>Pregled aukcijske trgovine hartijama od vrednosti kojima NBS obavlja operacije na otvorenom tržištu, po danima za 2008. godinu /
 Report on auction trade of securities used in open market operations of the NBS, daily for 2008</t>
  </si>
  <si>
    <t>Vrsta operacije/Type of operation</t>
  </si>
  <si>
    <t>GO/MO</t>
  </si>
  <si>
    <t xml:space="preserve">reverzna repo transakcija/                       reverse repo transaction </t>
  </si>
  <si>
    <t>DO/LTO</t>
  </si>
  <si>
    <t xml:space="preserve">  GO - glavne operacije, DO - operacije dužih ročnosti, OFP - operacije finog podešavanja / MO - main operations, LTO - longer term operations, FTO - fine tuning operations</t>
  </si>
  <si>
    <r>
      <rPr>
        <vertAlign val="superscript"/>
        <sz val="8"/>
        <rFont val="Arial"/>
        <family val="2"/>
      </rPr>
      <t xml:space="preserve">1) </t>
    </r>
    <r>
      <rPr>
        <sz val="8"/>
        <rFont val="Arial"/>
        <family val="2"/>
      </rPr>
      <t>Vrsta operacije je formalno definisana od 1.7.2011. godine/Type of operation is formaly defined from 1 July 2011.</t>
    </r>
  </si>
  <si>
    <r>
      <t>3)</t>
    </r>
    <r>
      <rPr>
        <sz val="8"/>
        <rFont val="Arial"/>
        <family val="2"/>
        <charset val="238"/>
      </rPr>
      <t xml:space="preserve"> var.-viš. - aukcije po metodi varijabilne višestruke kamatne stope. / 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var.-mult. - variable multiple interest rate auctions.</t>
    </r>
  </si>
  <si>
    <r>
      <t>2)</t>
    </r>
    <r>
      <rPr>
        <sz val="8"/>
        <rFont val="Arial"/>
        <family val="2"/>
        <charset val="238"/>
      </rPr>
      <t xml:space="preserve"> Reverzna repo transakcija - repo prodaja HoV/ Reverse repo transaction - repo sale of securities</t>
    </r>
  </si>
  <si>
    <r>
      <t>4)</t>
    </r>
    <r>
      <rPr>
        <sz val="8"/>
        <rFont val="Arial"/>
        <family val="2"/>
        <charset val="238"/>
      </rPr>
      <t xml:space="preserve"> BZ NBS - blagajnički zapisi Narodne Banke Srbije, RSOB - dugoročne obveznice Republike Srbije /  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BZ NBS - NBS Bills, RSOB - long-term bonds of the Republic of Serbia.</t>
    </r>
  </si>
  <si>
    <r>
      <t>5)</t>
    </r>
    <r>
      <rPr>
        <sz val="8"/>
        <rFont val="Arial"/>
        <family val="2"/>
        <charset val="238"/>
      </rPr>
      <t xml:space="preserve"> Diskontni iznos HoV i nominalni iznos HoV - prilikom trajne prodaje,
    Kupovna cena HoV i reotkupna cena HoV - prilikom repo prodaje.</t>
    </r>
  </si>
  <si>
    <r>
      <t>6)</t>
    </r>
    <r>
      <rPr>
        <sz val="8"/>
        <rFont val="Arial"/>
        <family val="2"/>
        <charset val="238"/>
      </rPr>
      <t xml:space="preserve"> Kod aukcija po fiksnoj kamatnoj stopi prikazana je unapred utvrđena kamatna stopa (repo stopa) iz Odluke o 
    aukciji, koja je istovremeno i prosečna ponderisana kamatna (repo) stopa za tu aukciju. </t>
    </r>
  </si>
  <si>
    <r>
      <t>/</t>
    </r>
    <r>
      <rPr>
        <vertAlign val="superscript"/>
        <sz val="8"/>
        <rFont val="Arial"/>
        <family val="2"/>
        <charset val="238"/>
      </rPr>
      <t xml:space="preserve"> 5)</t>
    </r>
    <r>
      <rPr>
        <sz val="8"/>
        <rFont val="Arial"/>
        <family val="2"/>
        <charset val="238"/>
      </rPr>
      <t xml:space="preserve"> Discount value of securities and nominal value of securities  - for outright transactions,
    Purchase price of securities and repurchase price of securities - for repo transactions.</t>
    </r>
  </si>
  <si>
    <r>
      <t xml:space="preserve"> /</t>
    </r>
    <r>
      <rPr>
        <vertAlign val="superscript"/>
        <sz val="8"/>
        <rFont val="Arial"/>
        <family val="2"/>
        <charset val="238"/>
      </rPr>
      <t xml:space="preserve"> 6)</t>
    </r>
    <r>
      <rPr>
        <sz val="8"/>
        <rFont val="Arial"/>
        <family val="2"/>
        <charset val="238"/>
      </rPr>
      <t xml:space="preserve"> Interest rate on fixed rate auctions is presented as previosly specified  interest (repo) rate in Decision on auction,
    and that interest (repo) rate is also average weighted interest rate.</t>
    </r>
  </si>
  <si>
    <r>
      <t>7)</t>
    </r>
    <r>
      <rPr>
        <sz val="8"/>
        <rFont val="Arial"/>
        <family val="2"/>
        <charset val="238"/>
      </rPr>
      <t xml:space="preserve"> Diskontni iznos HoV i reotkupna cena HoV za prodate HoV se računaju po prostoj metodi act/360.</t>
    </r>
  </si>
  <si>
    <r>
      <t>7)</t>
    </r>
    <r>
      <rPr>
        <sz val="8"/>
        <rFont val="Arial"/>
        <family val="2"/>
        <charset val="238"/>
      </rPr>
      <t xml:space="preserve"> Discount value of sold securities and repurchase price of sold securities are calculated by proportional method act/360.</t>
    </r>
  </si>
  <si>
    <r>
      <t>8)</t>
    </r>
    <r>
      <rPr>
        <sz val="8"/>
        <rFont val="Arial"/>
        <family val="2"/>
        <charset val="238"/>
      </rPr>
      <t xml:space="preserve"> Za period 2000.-2005. godina svi podaci su prikazani zbirno, osim stanja hartija od vrednosti u portfelju banaka koje predstavlja stanje na 31.12. svake godine.</t>
    </r>
  </si>
  <si>
    <r>
      <t xml:space="preserve">/ </t>
    </r>
    <r>
      <rPr>
        <vertAlign val="superscript"/>
        <sz val="8"/>
        <rFont val="Arial"/>
        <family val="2"/>
        <charset val="238"/>
      </rPr>
      <t>8)</t>
    </r>
    <r>
      <rPr>
        <sz val="8"/>
        <rFont val="Arial"/>
        <family val="2"/>
        <charset val="238"/>
      </rPr>
      <t xml:space="preserve"> For period 2000-2005 aggregate data are presented, except banks securities potfolio statement, which is presented with statement on December 31st, every year</t>
    </r>
  </si>
  <si>
    <r>
      <t xml:space="preserve">9)  </t>
    </r>
    <r>
      <rPr>
        <sz val="8"/>
        <rFont val="Arial"/>
        <family val="2"/>
        <charset val="238"/>
      </rPr>
      <t>Ukoliko u koloni Emitovano/ponuđeno na prodaju nije naveden iznos, radi se o modelu aukcija na kojima Narodna banka Srbije ne objavljuje unapred nominalnu vrednost hartija koje se prodaju.</t>
    </r>
  </si>
  <si>
    <r>
      <t>/</t>
    </r>
    <r>
      <rPr>
        <vertAlign val="superscript"/>
        <sz val="8"/>
        <rFont val="Arial"/>
        <family val="2"/>
        <charset val="238"/>
      </rPr>
      <t xml:space="preserve"> 9) </t>
    </r>
    <r>
      <rPr>
        <sz val="8"/>
        <rFont val="Arial"/>
        <family val="2"/>
        <charset val="238"/>
      </rPr>
      <t>If National bank of Serbia organizes auctions without preannouncing nominal value of offered securities, there is no amount in column Volume of issue/offered for sale.</t>
    </r>
  </si>
  <si>
    <r>
      <t xml:space="preserve">10)  </t>
    </r>
    <r>
      <rPr>
        <sz val="8"/>
        <rFont val="Arial"/>
        <family val="2"/>
        <charset val="238"/>
      </rPr>
      <t xml:space="preserve">Koeficijent realizacije na aukciji se izračunava u odnosu na nominalnu vrednost HoV koju je NBS objavila, </t>
    </r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ukoliko ova vrednost nije objavljena koeficijent realizacije se računa u odnosu na dostavljene ponude banaka.</t>
    </r>
  </si>
  <si>
    <r>
      <t>10)</t>
    </r>
    <r>
      <rPr>
        <sz val="8"/>
        <rFont val="Arial"/>
        <family val="2"/>
        <charset val="238"/>
      </rPr>
      <t xml:space="preserve"> Realization ratio = volume of realization/volume of offered for sale if NBS announced offered amount.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</si>
</sst>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9" formatCode="_-* #,##0.00\ _D_i_n_._-;\-* #,##0.00\ _D_i_n_._-;_-* &quot;-&quot;??\ _D_i_n_._-;_-@_-"/>
    <numFmt numFmtId="200" formatCode="#,##0.0000"/>
    <numFmt numFmtId="207" formatCode="d\.mmm"/>
  </numFmts>
  <fonts count="15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top"/>
    </xf>
    <xf numFmtId="17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 applyAlignment="1"/>
    <xf numFmtId="0" fontId="7" fillId="0" borderId="0" xfId="0" applyFont="1" applyFill="1" applyAlignment="1"/>
    <xf numFmtId="0" fontId="6" fillId="0" borderId="0" xfId="0" applyFont="1" applyFill="1" applyAlignment="1"/>
    <xf numFmtId="4" fontId="2" fillId="0" borderId="0" xfId="0" applyNumberFormat="1" applyFont="1" applyFill="1" applyBorder="1" applyAlignment="1"/>
    <xf numFmtId="4" fontId="3" fillId="0" borderId="0" xfId="0" applyNumberFormat="1" applyFont="1" applyFill="1" applyBorder="1" applyAlignment="1"/>
    <xf numFmtId="4" fontId="8" fillId="0" borderId="1" xfId="0" applyNumberFormat="1" applyFont="1" applyFill="1" applyBorder="1">
      <alignment vertical="top"/>
    </xf>
    <xf numFmtId="179" fontId="11" fillId="0" borderId="0" xfId="1" applyFont="1" applyFill="1"/>
    <xf numFmtId="4" fontId="8" fillId="0" borderId="2" xfId="0" applyNumberFormat="1" applyFont="1" applyFill="1" applyBorder="1">
      <alignment vertical="top"/>
    </xf>
    <xf numFmtId="4" fontId="8" fillId="0" borderId="3" xfId="0" applyNumberFormat="1" applyFont="1" applyFill="1" applyBorder="1">
      <alignment vertical="top"/>
    </xf>
    <xf numFmtId="4" fontId="8" fillId="0" borderId="4" xfId="0" applyNumberFormat="1" applyFont="1" applyFill="1" applyBorder="1">
      <alignment vertical="top"/>
    </xf>
    <xf numFmtId="0" fontId="8" fillId="0" borderId="0" xfId="0" applyFont="1" applyFill="1" applyAlignment="1">
      <alignment horizontal="right"/>
    </xf>
    <xf numFmtId="4" fontId="8" fillId="0" borderId="5" xfId="0" applyNumberFormat="1" applyFont="1" applyFill="1" applyBorder="1">
      <alignment vertical="top"/>
    </xf>
    <xf numFmtId="4" fontId="8" fillId="0" borderId="6" xfId="0" applyNumberFormat="1" applyFont="1" applyFill="1" applyBorder="1">
      <alignment vertical="top"/>
    </xf>
    <xf numFmtId="0" fontId="5" fillId="0" borderId="1" xfId="0" applyFont="1" applyFill="1" applyBorder="1" applyAlignment="1">
      <alignment horizontal="center" vertical="center" wrapText="1"/>
    </xf>
    <xf numFmtId="10" fontId="8" fillId="0" borderId="2" xfId="0" applyNumberFormat="1" applyFont="1" applyFill="1" applyBorder="1" applyAlignment="1">
      <alignment vertical="top"/>
    </xf>
    <xf numFmtId="10" fontId="8" fillId="0" borderId="5" xfId="0" applyNumberFormat="1" applyFont="1" applyFill="1" applyBorder="1" applyAlignment="1">
      <alignment vertical="top"/>
    </xf>
    <xf numFmtId="0" fontId="12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2" fontId="0" fillId="0" borderId="8" xfId="0" applyNumberForma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0" xfId="0" applyFill="1" applyAlignment="1"/>
    <xf numFmtId="207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 vertical="top"/>
    </xf>
    <xf numFmtId="10" fontId="8" fillId="0" borderId="1" xfId="0" applyNumberFormat="1" applyFont="1" applyFill="1" applyBorder="1">
      <alignment vertical="top"/>
    </xf>
    <xf numFmtId="4" fontId="10" fillId="0" borderId="0" xfId="0" applyNumberFormat="1" applyFont="1" applyFill="1" applyAlignment="1"/>
    <xf numFmtId="207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4" fontId="8" fillId="0" borderId="2" xfId="0" applyNumberFormat="1" applyFont="1" applyFill="1" applyBorder="1" applyAlignment="1">
      <alignment horizontal="center" vertical="top"/>
    </xf>
    <xf numFmtId="10" fontId="8" fillId="0" borderId="2" xfId="0" applyNumberFormat="1" applyFont="1" applyFill="1" applyBorder="1">
      <alignment vertical="top"/>
    </xf>
    <xf numFmtId="0" fontId="9" fillId="0" borderId="0" xfId="0" applyFont="1" applyFill="1" applyAlignment="1"/>
    <xf numFmtId="207" fontId="8" fillId="0" borderId="2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207" fontId="8" fillId="0" borderId="5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4" fontId="8" fillId="0" borderId="5" xfId="0" applyNumberFormat="1" applyFont="1" applyFill="1" applyBorder="1" applyAlignment="1">
      <alignment horizontal="center" vertical="top"/>
    </xf>
    <xf numFmtId="10" fontId="8" fillId="0" borderId="5" xfId="0" applyNumberFormat="1" applyFont="1" applyFill="1" applyBorder="1">
      <alignment vertical="top"/>
    </xf>
    <xf numFmtId="207" fontId="8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4" fontId="8" fillId="0" borderId="4" xfId="0" applyNumberFormat="1" applyFont="1" applyFill="1" applyBorder="1" applyAlignment="1">
      <alignment horizontal="center" vertical="top"/>
    </xf>
    <xf numFmtId="10" fontId="8" fillId="0" borderId="4" xfId="0" applyNumberFormat="1" applyFont="1" applyFill="1" applyBorder="1">
      <alignment vertical="top"/>
    </xf>
    <xf numFmtId="207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207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07" fontId="8" fillId="0" borderId="6" xfId="0" applyNumberFormat="1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4" fontId="8" fillId="0" borderId="6" xfId="0" applyNumberFormat="1" applyFont="1" applyFill="1" applyBorder="1" applyAlignment="1">
      <alignment horizontal="center" vertical="top"/>
    </xf>
    <xf numFmtId="10" fontId="8" fillId="0" borderId="6" xfId="0" applyNumberFormat="1" applyFont="1" applyFill="1" applyBorder="1">
      <alignment vertical="top"/>
    </xf>
    <xf numFmtId="207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207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3" fillId="0" borderId="0" xfId="0" applyFont="1" applyFill="1" applyBorder="1" applyAlignment="1"/>
    <xf numFmtId="4" fontId="8" fillId="0" borderId="12" xfId="0" applyNumberFormat="1" applyFont="1" applyFill="1" applyBorder="1">
      <alignment vertical="top"/>
    </xf>
    <xf numFmtId="10" fontId="8" fillId="0" borderId="12" xfId="0" applyNumberFormat="1" applyFont="1" applyFill="1" applyBorder="1">
      <alignment vertical="top"/>
    </xf>
    <xf numFmtId="4" fontId="6" fillId="0" borderId="0" xfId="0" applyNumberFormat="1" applyFont="1" applyFill="1" applyAlignment="1"/>
    <xf numFmtId="4" fontId="0" fillId="0" borderId="0" xfId="0" applyNumberFormat="1" applyFill="1" applyAlignment="1"/>
    <xf numFmtId="10" fontId="0" fillId="0" borderId="0" xfId="0" applyNumberFormat="1" applyFill="1" applyAlignment="1"/>
    <xf numFmtId="10" fontId="11" fillId="0" borderId="0" xfId="2" applyNumberFormat="1" applyFont="1" applyFill="1"/>
    <xf numFmtId="0" fontId="5" fillId="0" borderId="0" xfId="0" applyFont="1" applyFill="1" applyAlignment="1"/>
    <xf numFmtId="9" fontId="0" fillId="0" borderId="0" xfId="2" applyFont="1" applyFill="1"/>
    <xf numFmtId="0" fontId="13" fillId="0" borderId="0" xfId="0" applyFont="1" applyFill="1" applyAlignment="1"/>
    <xf numFmtId="200" fontId="0" fillId="0" borderId="0" xfId="0" applyNumberFormat="1" applyFill="1" applyAlignment="1"/>
    <xf numFmtId="0" fontId="11" fillId="0" borderId="0" xfId="0" applyFont="1" applyFill="1" applyAlignment="1"/>
    <xf numFmtId="10" fontId="0" fillId="0" borderId="0" xfId="2" applyNumberFormat="1" applyFont="1" applyFill="1"/>
    <xf numFmtId="0" fontId="7" fillId="0" borderId="0" xfId="0" applyFont="1" applyFill="1" applyAlignment="1">
      <alignment wrapText="1"/>
    </xf>
    <xf numFmtId="0" fontId="2" fillId="0" borderId="0" xfId="0" applyFont="1" applyFill="1" applyAlignment="1"/>
    <xf numFmtId="2" fontId="0" fillId="0" borderId="7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0" fillId="0" borderId="12" xfId="0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justify" wrapText="1"/>
    </xf>
    <xf numFmtId="0" fontId="2" fillId="0" borderId="0" xfId="0" applyFont="1" applyFill="1" applyAlignment="1">
      <alignment horizontal="justify" wrapText="1"/>
    </xf>
    <xf numFmtId="0" fontId="4" fillId="0" borderId="0" xfId="0" applyFont="1" applyFill="1" applyAlignment="1">
      <alignment horizontal="center" wrapText="1"/>
    </xf>
    <xf numFmtId="0" fontId="5" fillId="0" borderId="12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7"/>
  <sheetViews>
    <sheetView tabSelected="1" topLeftCell="K1" zoomScaleNormal="100" zoomScaleSheetLayoutView="100" workbookViewId="0">
      <pane ySplit="4" topLeftCell="A45" activePane="bottomLeft" state="frozen"/>
      <selection activeCell="D1" sqref="D1"/>
      <selection pane="bottomLeft" activeCell="U51" sqref="U51"/>
    </sheetView>
  </sheetViews>
  <sheetFormatPr defaultRowHeight="12.75" x14ac:dyDescent="0.2"/>
  <cols>
    <col min="1" max="1" width="9.42578125" style="35" customWidth="1"/>
    <col min="2" max="2" width="9.85546875" style="35" customWidth="1"/>
    <col min="3" max="4" width="14.42578125" style="35" customWidth="1"/>
    <col min="5" max="5" width="23" style="35" customWidth="1"/>
    <col min="6" max="6" width="13.140625" style="35" customWidth="1"/>
    <col min="7" max="7" width="12.5703125" style="35" customWidth="1"/>
    <col min="8" max="8" width="12.42578125" style="35" customWidth="1"/>
    <col min="9" max="9" width="11.140625" style="35" customWidth="1"/>
    <col min="10" max="10" width="19.42578125" style="35" customWidth="1"/>
    <col min="11" max="11" width="11.140625" style="35" customWidth="1"/>
    <col min="12" max="12" width="17" style="35" customWidth="1"/>
    <col min="13" max="13" width="19.28515625" style="35" customWidth="1"/>
    <col min="14" max="14" width="19.42578125" style="35" customWidth="1"/>
    <col min="15" max="15" width="10.140625" style="35" customWidth="1"/>
    <col min="16" max="16" width="12.28515625" style="35" customWidth="1"/>
    <col min="17" max="17" width="13" style="35" customWidth="1"/>
    <col min="18" max="18" width="19.28515625" style="35" customWidth="1"/>
    <col min="19" max="19" width="18.7109375" style="35" customWidth="1"/>
    <col min="20" max="20" width="22.7109375" style="35" customWidth="1"/>
    <col min="21" max="21" width="21.85546875" style="35" customWidth="1"/>
    <col min="22" max="16384" width="9.140625" style="35"/>
  </cols>
  <sheetData>
    <row r="1" spans="1:21" ht="33" customHeight="1" x14ac:dyDescent="0.25">
      <c r="A1" s="100" t="s">
        <v>26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</row>
    <row r="2" spans="1:21" ht="11.25" customHeight="1" x14ac:dyDescent="0.2">
      <c r="S2" s="10" t="s">
        <v>3</v>
      </c>
    </row>
    <row r="3" spans="1:21" ht="39.75" customHeight="1" x14ac:dyDescent="0.2">
      <c r="A3" s="84" t="s">
        <v>4</v>
      </c>
      <c r="B3" s="84" t="s">
        <v>5</v>
      </c>
      <c r="C3" s="84" t="s">
        <v>6</v>
      </c>
      <c r="D3" s="84" t="s">
        <v>27</v>
      </c>
      <c r="E3" s="84" t="s">
        <v>7</v>
      </c>
      <c r="F3" s="84" t="s">
        <v>8</v>
      </c>
      <c r="G3" s="84" t="s">
        <v>9</v>
      </c>
      <c r="H3" s="84" t="s">
        <v>10</v>
      </c>
      <c r="I3" s="84" t="s">
        <v>11</v>
      </c>
      <c r="J3" s="84" t="s">
        <v>12</v>
      </c>
      <c r="K3" s="84" t="s">
        <v>13</v>
      </c>
      <c r="L3" s="84" t="s">
        <v>14</v>
      </c>
      <c r="M3" s="92" t="s">
        <v>15</v>
      </c>
      <c r="N3" s="93"/>
      <c r="O3" s="84" t="s">
        <v>16</v>
      </c>
      <c r="P3" s="84" t="s">
        <v>17</v>
      </c>
      <c r="Q3" s="84" t="s">
        <v>18</v>
      </c>
      <c r="R3" s="92" t="s">
        <v>19</v>
      </c>
      <c r="S3" s="93"/>
    </row>
    <row r="4" spans="1:21" ht="50.25" customHeight="1" x14ac:dyDescent="0.2">
      <c r="A4" s="85"/>
      <c r="B4" s="85"/>
      <c r="C4" s="85"/>
      <c r="D4" s="91"/>
      <c r="E4" s="101"/>
      <c r="F4" s="85"/>
      <c r="G4" s="85"/>
      <c r="H4" s="85"/>
      <c r="I4" s="85"/>
      <c r="J4" s="85"/>
      <c r="K4" s="85"/>
      <c r="L4" s="85"/>
      <c r="M4" s="13" t="s">
        <v>20</v>
      </c>
      <c r="N4" s="13" t="s">
        <v>21</v>
      </c>
      <c r="O4" s="85"/>
      <c r="P4" s="85"/>
      <c r="Q4" s="85"/>
      <c r="R4" s="13" t="s">
        <v>20</v>
      </c>
      <c r="S4" s="13" t="s">
        <v>21</v>
      </c>
    </row>
    <row r="5" spans="1:21" ht="26.25" customHeight="1" x14ac:dyDescent="0.2">
      <c r="A5" s="87">
        <v>2008</v>
      </c>
      <c r="B5" s="26">
        <v>1</v>
      </c>
      <c r="C5" s="23" t="s">
        <v>23</v>
      </c>
      <c r="D5" s="16" t="s">
        <v>28</v>
      </c>
      <c r="E5" s="17" t="s">
        <v>29</v>
      </c>
      <c r="F5" s="36">
        <v>39085</v>
      </c>
      <c r="G5" s="36">
        <f t="shared" ref="G5:G31" si="0">+F5+H5</f>
        <v>39098</v>
      </c>
      <c r="H5" s="37">
        <v>13</v>
      </c>
      <c r="I5" s="37" t="s">
        <v>0</v>
      </c>
      <c r="J5" s="38" t="s">
        <v>2</v>
      </c>
      <c r="K5" s="39">
        <v>0</v>
      </c>
      <c r="L5" s="38" t="s">
        <v>2</v>
      </c>
      <c r="M5" s="5">
        <v>64770000000</v>
      </c>
      <c r="N5" s="5">
        <v>65003890947</v>
      </c>
      <c r="O5" s="39">
        <v>1</v>
      </c>
      <c r="P5" s="39">
        <v>0.1</v>
      </c>
      <c r="Q5" s="39">
        <v>0.1</v>
      </c>
      <c r="R5" s="5">
        <v>232962361866.04001</v>
      </c>
      <c r="S5" s="5">
        <v>234219154375.5</v>
      </c>
      <c r="T5" s="6">
        <f t="shared" ref="T5:T55" si="1">Q5*M5</f>
        <v>6477000000</v>
      </c>
      <c r="U5" s="40"/>
    </row>
    <row r="6" spans="1:21" ht="26.25" customHeight="1" x14ac:dyDescent="0.2">
      <c r="A6" s="88"/>
      <c r="B6" s="27">
        <v>2</v>
      </c>
      <c r="C6" s="24" t="s">
        <v>23</v>
      </c>
      <c r="D6" s="18" t="s">
        <v>28</v>
      </c>
      <c r="E6" s="19" t="s">
        <v>29</v>
      </c>
      <c r="F6" s="41">
        <v>39086</v>
      </c>
      <c r="G6" s="41">
        <f t="shared" si="0"/>
        <v>39100</v>
      </c>
      <c r="H6" s="42">
        <v>14</v>
      </c>
      <c r="I6" s="42" t="s">
        <v>0</v>
      </c>
      <c r="J6" s="43" t="s">
        <v>2</v>
      </c>
      <c r="K6" s="44">
        <v>0</v>
      </c>
      <c r="L6" s="43" t="s">
        <v>2</v>
      </c>
      <c r="M6" s="7">
        <v>62380000000</v>
      </c>
      <c r="N6" s="7">
        <v>62622589582</v>
      </c>
      <c r="O6" s="44">
        <v>1</v>
      </c>
      <c r="P6" s="44">
        <v>0.1</v>
      </c>
      <c r="Q6" s="44">
        <v>0.1</v>
      </c>
      <c r="R6" s="7">
        <v>243137361866.04001</v>
      </c>
      <c r="S6" s="7">
        <v>244443877805.5</v>
      </c>
      <c r="T6" s="6">
        <f t="shared" si="1"/>
        <v>6238000000</v>
      </c>
      <c r="U6" s="40"/>
    </row>
    <row r="7" spans="1:21" ht="26.25" customHeight="1" x14ac:dyDescent="0.2">
      <c r="A7" s="88"/>
      <c r="B7" s="27">
        <v>3</v>
      </c>
      <c r="C7" s="24" t="s">
        <v>23</v>
      </c>
      <c r="D7" s="18" t="s">
        <v>28</v>
      </c>
      <c r="E7" s="19" t="s">
        <v>29</v>
      </c>
      <c r="F7" s="41">
        <v>39091</v>
      </c>
      <c r="G7" s="41">
        <f t="shared" si="0"/>
        <v>39105</v>
      </c>
      <c r="H7" s="42">
        <v>14</v>
      </c>
      <c r="I7" s="42" t="s">
        <v>0</v>
      </c>
      <c r="J7" s="43" t="s">
        <v>2</v>
      </c>
      <c r="K7" s="44">
        <v>0</v>
      </c>
      <c r="L7" s="43" t="s">
        <v>2</v>
      </c>
      <c r="M7" s="7">
        <v>55585000000</v>
      </c>
      <c r="N7" s="7">
        <v>55801164506.5</v>
      </c>
      <c r="O7" s="44">
        <v>1</v>
      </c>
      <c r="P7" s="44">
        <v>0.1</v>
      </c>
      <c r="Q7" s="44">
        <v>0.1</v>
      </c>
      <c r="R7" s="7">
        <v>245717361866.04001</v>
      </c>
      <c r="S7" s="7">
        <v>247044220640</v>
      </c>
      <c r="T7" s="6">
        <f t="shared" si="1"/>
        <v>5558500000</v>
      </c>
      <c r="U7" s="40"/>
    </row>
    <row r="8" spans="1:21" ht="26.25" customHeight="1" x14ac:dyDescent="0.2">
      <c r="A8" s="88"/>
      <c r="B8" s="27">
        <v>4</v>
      </c>
      <c r="C8" s="24" t="s">
        <v>23</v>
      </c>
      <c r="D8" s="18" t="s">
        <v>28</v>
      </c>
      <c r="E8" s="19" t="s">
        <v>29</v>
      </c>
      <c r="F8" s="41">
        <v>39093</v>
      </c>
      <c r="G8" s="41">
        <f t="shared" si="0"/>
        <v>39107</v>
      </c>
      <c r="H8" s="42">
        <v>14</v>
      </c>
      <c r="I8" s="42" t="s">
        <v>0</v>
      </c>
      <c r="J8" s="43" t="s">
        <v>2</v>
      </c>
      <c r="K8" s="44">
        <v>0</v>
      </c>
      <c r="L8" s="43" t="s">
        <v>2</v>
      </c>
      <c r="M8" s="7">
        <v>44825000000</v>
      </c>
      <c r="N8" s="7">
        <v>44999319942.5</v>
      </c>
      <c r="O8" s="44">
        <v>1</v>
      </c>
      <c r="P8" s="44">
        <v>0.1</v>
      </c>
      <c r="Q8" s="44">
        <v>0.1</v>
      </c>
      <c r="R8" s="7">
        <v>236137361866.04001</v>
      </c>
      <c r="S8" s="7">
        <v>237426964978</v>
      </c>
      <c r="T8" s="6">
        <f t="shared" si="1"/>
        <v>4482500000</v>
      </c>
      <c r="U8" s="40"/>
    </row>
    <row r="9" spans="1:21" ht="26.25" customHeight="1" x14ac:dyDescent="0.2">
      <c r="A9" s="88"/>
      <c r="B9" s="27">
        <v>5</v>
      </c>
      <c r="C9" s="24" t="s">
        <v>23</v>
      </c>
      <c r="D9" s="18" t="s">
        <v>28</v>
      </c>
      <c r="E9" s="19" t="s">
        <v>29</v>
      </c>
      <c r="F9" s="41">
        <v>39463</v>
      </c>
      <c r="G9" s="41">
        <f t="shared" si="0"/>
        <v>39477</v>
      </c>
      <c r="H9" s="42">
        <v>14</v>
      </c>
      <c r="I9" s="42" t="s">
        <v>0</v>
      </c>
      <c r="J9" s="43" t="s">
        <v>2</v>
      </c>
      <c r="K9" s="44">
        <v>0</v>
      </c>
      <c r="L9" s="43" t="s">
        <v>2</v>
      </c>
      <c r="M9" s="7">
        <v>42410000000</v>
      </c>
      <c r="N9" s="7">
        <v>42574928249</v>
      </c>
      <c r="O9" s="44">
        <v>1</v>
      </c>
      <c r="P9" s="44">
        <v>0.1</v>
      </c>
      <c r="Q9" s="44">
        <v>0.1</v>
      </c>
      <c r="R9" s="7">
        <v>213777361866.04004</v>
      </c>
      <c r="S9" s="7">
        <v>214998002280</v>
      </c>
      <c r="T9" s="6">
        <f t="shared" si="1"/>
        <v>4241000000</v>
      </c>
      <c r="U9" s="40"/>
    </row>
    <row r="10" spans="1:21" ht="26.25" customHeight="1" x14ac:dyDescent="0.2">
      <c r="A10" s="88"/>
      <c r="B10" s="27">
        <v>6</v>
      </c>
      <c r="C10" s="24" t="s">
        <v>23</v>
      </c>
      <c r="D10" s="18" t="s">
        <v>28</v>
      </c>
      <c r="E10" s="19" t="s">
        <v>29</v>
      </c>
      <c r="F10" s="41">
        <v>39465</v>
      </c>
      <c r="G10" s="41">
        <f t="shared" si="0"/>
        <v>39479</v>
      </c>
      <c r="H10" s="42">
        <v>14</v>
      </c>
      <c r="I10" s="42" t="s">
        <v>0</v>
      </c>
      <c r="J10" s="43" t="s">
        <v>2</v>
      </c>
      <c r="K10" s="44">
        <v>0</v>
      </c>
      <c r="L10" s="43" t="s">
        <v>2</v>
      </c>
      <c r="M10" s="7">
        <v>61400000000</v>
      </c>
      <c r="N10" s="7">
        <v>61638778460</v>
      </c>
      <c r="O10" s="44">
        <v>1</v>
      </c>
      <c r="P10" s="44">
        <v>0.1</v>
      </c>
      <c r="Q10" s="44">
        <v>0.1</v>
      </c>
      <c r="R10" s="7">
        <v>212797361866.04004</v>
      </c>
      <c r="S10" s="7">
        <v>214014191158</v>
      </c>
      <c r="T10" s="6">
        <f t="shared" si="1"/>
        <v>6140000000</v>
      </c>
      <c r="U10" s="40"/>
    </row>
    <row r="11" spans="1:21" ht="26.25" customHeight="1" x14ac:dyDescent="0.2">
      <c r="A11" s="88"/>
      <c r="B11" s="27">
        <v>7</v>
      </c>
      <c r="C11" s="24" t="s">
        <v>23</v>
      </c>
      <c r="D11" s="18" t="s">
        <v>28</v>
      </c>
      <c r="E11" s="19" t="s">
        <v>29</v>
      </c>
      <c r="F11" s="41">
        <v>39470</v>
      </c>
      <c r="G11" s="41">
        <f t="shared" si="0"/>
        <v>39484</v>
      </c>
      <c r="H11" s="42">
        <v>14</v>
      </c>
      <c r="I11" s="42" t="s">
        <v>0</v>
      </c>
      <c r="J11" s="43" t="s">
        <v>2</v>
      </c>
      <c r="K11" s="44">
        <v>0</v>
      </c>
      <c r="L11" s="43" t="s">
        <v>2</v>
      </c>
      <c r="M11" s="7">
        <v>53740000000</v>
      </c>
      <c r="N11" s="7">
        <v>53948989486</v>
      </c>
      <c r="O11" s="44">
        <v>1</v>
      </c>
      <c r="P11" s="44">
        <v>0.1</v>
      </c>
      <c r="Q11" s="44">
        <v>0.1</v>
      </c>
      <c r="R11" s="7">
        <v>210952361866.04004</v>
      </c>
      <c r="S11" s="7">
        <v>212162016137.5</v>
      </c>
      <c r="T11" s="6">
        <f t="shared" si="1"/>
        <v>5374000000</v>
      </c>
      <c r="U11" s="40"/>
    </row>
    <row r="12" spans="1:21" ht="26.25" customHeight="1" x14ac:dyDescent="0.2">
      <c r="A12" s="88"/>
      <c r="B12" s="27">
        <v>8</v>
      </c>
      <c r="C12" s="24" t="s">
        <v>23</v>
      </c>
      <c r="D12" s="18" t="s">
        <v>28</v>
      </c>
      <c r="E12" s="19" t="s">
        <v>29</v>
      </c>
      <c r="F12" s="41">
        <v>39472</v>
      </c>
      <c r="G12" s="41">
        <f t="shared" si="0"/>
        <v>39486</v>
      </c>
      <c r="H12" s="42">
        <v>14</v>
      </c>
      <c r="I12" s="42" t="s">
        <v>0</v>
      </c>
      <c r="J12" s="43" t="s">
        <v>2</v>
      </c>
      <c r="K12" s="44">
        <v>0</v>
      </c>
      <c r="L12" s="43" t="s">
        <v>2</v>
      </c>
      <c r="M12" s="7">
        <v>53225000000</v>
      </c>
      <c r="N12" s="7">
        <v>53431986702.5</v>
      </c>
      <c r="O12" s="44">
        <v>1</v>
      </c>
      <c r="P12" s="44">
        <v>0.1</v>
      </c>
      <c r="Q12" s="44">
        <v>0.1</v>
      </c>
      <c r="R12" s="7">
        <v>219352361866.04004</v>
      </c>
      <c r="S12" s="7">
        <v>220594682897.5</v>
      </c>
      <c r="T12" s="6">
        <f t="shared" si="1"/>
        <v>5322500000</v>
      </c>
      <c r="U12" s="40"/>
    </row>
    <row r="13" spans="1:21" ht="26.25" customHeight="1" x14ac:dyDescent="0.2">
      <c r="A13" s="88"/>
      <c r="B13" s="27">
        <v>9</v>
      </c>
      <c r="C13" s="24" t="s">
        <v>24</v>
      </c>
      <c r="D13" s="18" t="s">
        <v>30</v>
      </c>
      <c r="E13" s="19" t="s">
        <v>25</v>
      </c>
      <c r="F13" s="41">
        <v>39475</v>
      </c>
      <c r="G13" s="41">
        <f t="shared" si="0"/>
        <v>39657</v>
      </c>
      <c r="H13" s="42">
        <v>182</v>
      </c>
      <c r="I13" s="42" t="s">
        <v>0</v>
      </c>
      <c r="J13" s="43">
        <v>1500000000</v>
      </c>
      <c r="K13" s="44">
        <v>0</v>
      </c>
      <c r="L13" s="43">
        <v>1500000000</v>
      </c>
      <c r="M13" s="7">
        <v>1424509429</v>
      </c>
      <c r="N13" s="7">
        <v>1500000000</v>
      </c>
      <c r="O13" s="44">
        <v>1</v>
      </c>
      <c r="P13" s="44">
        <v>0.1071</v>
      </c>
      <c r="Q13" s="44">
        <v>0.1048</v>
      </c>
      <c r="R13" s="7">
        <v>219347619695.04004</v>
      </c>
      <c r="S13" s="7">
        <v>220594682897.5</v>
      </c>
      <c r="T13" s="6">
        <f t="shared" si="1"/>
        <v>149288588.15920001</v>
      </c>
      <c r="U13" s="40"/>
    </row>
    <row r="14" spans="1:21" ht="26.25" customHeight="1" x14ac:dyDescent="0.2">
      <c r="A14" s="88"/>
      <c r="B14" s="27">
        <v>10</v>
      </c>
      <c r="C14" s="24" t="s">
        <v>23</v>
      </c>
      <c r="D14" s="18" t="s">
        <v>28</v>
      </c>
      <c r="E14" s="19" t="s">
        <v>29</v>
      </c>
      <c r="F14" s="41">
        <v>39477</v>
      </c>
      <c r="G14" s="41">
        <f t="shared" si="0"/>
        <v>39491</v>
      </c>
      <c r="H14" s="42">
        <v>14</v>
      </c>
      <c r="I14" s="42" t="s">
        <v>0</v>
      </c>
      <c r="J14" s="43" t="s">
        <v>2</v>
      </c>
      <c r="K14" s="44">
        <v>0</v>
      </c>
      <c r="L14" s="43" t="s">
        <v>2</v>
      </c>
      <c r="M14" s="7">
        <v>48110000000</v>
      </c>
      <c r="N14" s="7">
        <v>48297094979</v>
      </c>
      <c r="O14" s="44">
        <v>1</v>
      </c>
      <c r="P14" s="44">
        <v>0.1</v>
      </c>
      <c r="Q14" s="44">
        <v>0.1</v>
      </c>
      <c r="R14" s="7">
        <v>225047619695.04004</v>
      </c>
      <c r="S14" s="7">
        <v>226316849627.5</v>
      </c>
      <c r="T14" s="6">
        <f t="shared" si="1"/>
        <v>4811000000</v>
      </c>
      <c r="U14" s="40"/>
    </row>
    <row r="15" spans="1:21" ht="26.25" customHeight="1" x14ac:dyDescent="0.2">
      <c r="A15" s="88"/>
      <c r="B15" s="27">
        <v>11</v>
      </c>
      <c r="C15" s="24" t="s">
        <v>23</v>
      </c>
      <c r="D15" s="18" t="s">
        <v>28</v>
      </c>
      <c r="E15" s="19" t="s">
        <v>29</v>
      </c>
      <c r="F15" s="41">
        <v>39479</v>
      </c>
      <c r="G15" s="41">
        <f t="shared" si="0"/>
        <v>39492</v>
      </c>
      <c r="H15" s="42">
        <v>13</v>
      </c>
      <c r="I15" s="42" t="s">
        <v>0</v>
      </c>
      <c r="J15" s="43" t="s">
        <v>2</v>
      </c>
      <c r="K15" s="44">
        <v>0</v>
      </c>
      <c r="L15" s="43" t="s">
        <v>2</v>
      </c>
      <c r="M15" s="7">
        <v>62685000000</v>
      </c>
      <c r="N15" s="7">
        <v>62911361803.5</v>
      </c>
      <c r="O15" s="44">
        <v>1</v>
      </c>
      <c r="P15" s="44">
        <v>0.1</v>
      </c>
      <c r="Q15" s="44">
        <v>0.1</v>
      </c>
      <c r="R15" s="7">
        <v>226332619695.04004</v>
      </c>
      <c r="S15" s="7">
        <v>227589432971</v>
      </c>
      <c r="T15" s="6">
        <f t="shared" si="1"/>
        <v>6268500000</v>
      </c>
      <c r="U15" s="40"/>
    </row>
    <row r="16" spans="1:21" ht="26.25" customHeight="1" x14ac:dyDescent="0.2">
      <c r="A16" s="88"/>
      <c r="B16" s="27">
        <v>12</v>
      </c>
      <c r="C16" s="24" t="s">
        <v>23</v>
      </c>
      <c r="D16" s="18" t="s">
        <v>28</v>
      </c>
      <c r="E16" s="19" t="s">
        <v>29</v>
      </c>
      <c r="F16" s="41">
        <v>39484</v>
      </c>
      <c r="G16" s="41">
        <f t="shared" si="0"/>
        <v>39498</v>
      </c>
      <c r="H16" s="42">
        <v>14</v>
      </c>
      <c r="I16" s="42" t="s">
        <v>0</v>
      </c>
      <c r="J16" s="43" t="s">
        <v>2</v>
      </c>
      <c r="K16" s="44">
        <v>0</v>
      </c>
      <c r="L16" s="43" t="s">
        <v>2</v>
      </c>
      <c r="M16" s="7">
        <v>60760000000</v>
      </c>
      <c r="N16" s="7">
        <v>61014013256</v>
      </c>
      <c r="O16" s="44">
        <v>1</v>
      </c>
      <c r="P16" s="44">
        <v>0.1075</v>
      </c>
      <c r="Q16" s="44">
        <v>0.1075</v>
      </c>
      <c r="R16" s="7">
        <v>233352619695.04004</v>
      </c>
      <c r="S16" s="7">
        <v>234654456741</v>
      </c>
      <c r="T16" s="6">
        <f t="shared" si="1"/>
        <v>6531700000</v>
      </c>
      <c r="U16" s="40"/>
    </row>
    <row r="17" spans="1:24" ht="26.25" customHeight="1" x14ac:dyDescent="0.2">
      <c r="A17" s="88"/>
      <c r="B17" s="27">
        <v>13</v>
      </c>
      <c r="C17" s="24" t="s">
        <v>23</v>
      </c>
      <c r="D17" s="18" t="s">
        <v>28</v>
      </c>
      <c r="E17" s="19" t="s">
        <v>29</v>
      </c>
      <c r="F17" s="41">
        <v>39486</v>
      </c>
      <c r="G17" s="41">
        <f t="shared" si="0"/>
        <v>39500</v>
      </c>
      <c r="H17" s="42">
        <v>14</v>
      </c>
      <c r="I17" s="42" t="s">
        <v>0</v>
      </c>
      <c r="J17" s="43" t="s">
        <v>2</v>
      </c>
      <c r="K17" s="44">
        <v>0</v>
      </c>
      <c r="L17" s="43" t="s">
        <v>2</v>
      </c>
      <c r="M17" s="7">
        <v>55910000000</v>
      </c>
      <c r="N17" s="7">
        <v>56143737346</v>
      </c>
      <c r="O17" s="44">
        <v>1</v>
      </c>
      <c r="P17" s="44">
        <v>0.1075</v>
      </c>
      <c r="Q17" s="44">
        <v>0.1075</v>
      </c>
      <c r="R17" s="7">
        <v>236037619695.04004</v>
      </c>
      <c r="S17" s="7">
        <v>237366207384.5</v>
      </c>
      <c r="T17" s="6">
        <f t="shared" si="1"/>
        <v>6010325000</v>
      </c>
      <c r="U17" s="40"/>
    </row>
    <row r="18" spans="1:24" ht="26.25" customHeight="1" x14ac:dyDescent="0.2">
      <c r="A18" s="88"/>
      <c r="B18" s="27">
        <v>14</v>
      </c>
      <c r="C18" s="24" t="s">
        <v>23</v>
      </c>
      <c r="D18" s="18" t="s">
        <v>28</v>
      </c>
      <c r="E18" s="19" t="s">
        <v>29</v>
      </c>
      <c r="F18" s="41">
        <v>39491</v>
      </c>
      <c r="G18" s="41">
        <f t="shared" si="0"/>
        <v>39505</v>
      </c>
      <c r="H18" s="42">
        <v>14</v>
      </c>
      <c r="I18" s="42" t="s">
        <v>0</v>
      </c>
      <c r="J18" s="43" t="s">
        <v>2</v>
      </c>
      <c r="K18" s="44">
        <v>0</v>
      </c>
      <c r="L18" s="43" t="s">
        <v>2</v>
      </c>
      <c r="M18" s="7">
        <v>36600000000</v>
      </c>
      <c r="N18" s="7">
        <v>36753009960</v>
      </c>
      <c r="O18" s="44">
        <v>1</v>
      </c>
      <c r="P18" s="44">
        <v>0.1075</v>
      </c>
      <c r="Q18" s="44">
        <v>0.1075</v>
      </c>
      <c r="R18" s="11">
        <v>224527619695.04004</v>
      </c>
      <c r="S18" s="8">
        <v>225822122365.5</v>
      </c>
      <c r="T18" s="6">
        <f t="shared" si="1"/>
        <v>3934500000</v>
      </c>
      <c r="U18" s="40"/>
    </row>
    <row r="19" spans="1:24" ht="26.25" customHeight="1" x14ac:dyDescent="0.2">
      <c r="A19" s="88"/>
      <c r="B19" s="27">
        <v>15</v>
      </c>
      <c r="C19" s="24" t="s">
        <v>23</v>
      </c>
      <c r="D19" s="18" t="s">
        <v>28</v>
      </c>
      <c r="E19" s="19" t="s">
        <v>29</v>
      </c>
      <c r="F19" s="41">
        <v>39492</v>
      </c>
      <c r="G19" s="41">
        <f t="shared" si="0"/>
        <v>39507</v>
      </c>
      <c r="H19" s="42">
        <v>15</v>
      </c>
      <c r="I19" s="42" t="s">
        <v>0</v>
      </c>
      <c r="J19" s="43" t="s">
        <v>2</v>
      </c>
      <c r="K19" s="44">
        <v>0</v>
      </c>
      <c r="L19" s="43" t="s">
        <v>2</v>
      </c>
      <c r="M19" s="7">
        <v>55040000000</v>
      </c>
      <c r="N19" s="7">
        <v>55286535168</v>
      </c>
      <c r="O19" s="44">
        <v>1</v>
      </c>
      <c r="P19" s="44">
        <v>0.1075</v>
      </c>
      <c r="Q19" s="44">
        <v>0.1075</v>
      </c>
      <c r="R19" s="7">
        <v>216882619695.04004</v>
      </c>
      <c r="S19" s="7">
        <v>218197295730</v>
      </c>
      <c r="T19" s="6">
        <f t="shared" si="1"/>
        <v>5916800000</v>
      </c>
      <c r="U19" s="40"/>
    </row>
    <row r="20" spans="1:24" ht="26.25" customHeight="1" x14ac:dyDescent="0.2">
      <c r="A20" s="88"/>
      <c r="B20" s="27">
        <v>16</v>
      </c>
      <c r="C20" s="24" t="s">
        <v>23</v>
      </c>
      <c r="D20" s="18" t="s">
        <v>28</v>
      </c>
      <c r="E20" s="19" t="s">
        <v>29</v>
      </c>
      <c r="F20" s="41">
        <v>39498</v>
      </c>
      <c r="G20" s="41">
        <f t="shared" si="0"/>
        <v>39512</v>
      </c>
      <c r="H20" s="42">
        <v>14</v>
      </c>
      <c r="I20" s="42" t="s">
        <v>0</v>
      </c>
      <c r="J20" s="43" t="s">
        <v>2</v>
      </c>
      <c r="K20" s="44">
        <v>0</v>
      </c>
      <c r="L20" s="43" t="s">
        <v>2</v>
      </c>
      <c r="M20" s="7">
        <v>50300000000</v>
      </c>
      <c r="N20" s="7">
        <v>50510284180</v>
      </c>
      <c r="O20" s="44">
        <v>1</v>
      </c>
      <c r="P20" s="44">
        <v>0.1075</v>
      </c>
      <c r="Q20" s="44">
        <v>0.1075</v>
      </c>
      <c r="R20" s="7">
        <v>206422619695.04004</v>
      </c>
      <c r="S20" s="7">
        <v>207693566654</v>
      </c>
      <c r="T20" s="6">
        <f t="shared" si="1"/>
        <v>5407250000</v>
      </c>
      <c r="U20" s="40"/>
    </row>
    <row r="21" spans="1:24" ht="26.25" customHeight="1" x14ac:dyDescent="0.2">
      <c r="A21" s="88"/>
      <c r="B21" s="27">
        <v>17</v>
      </c>
      <c r="C21" s="24" t="s">
        <v>23</v>
      </c>
      <c r="D21" s="18" t="s">
        <v>28</v>
      </c>
      <c r="E21" s="19" t="s">
        <v>29</v>
      </c>
      <c r="F21" s="41">
        <v>39500</v>
      </c>
      <c r="G21" s="41">
        <f t="shared" si="0"/>
        <v>39514</v>
      </c>
      <c r="H21" s="42">
        <v>14</v>
      </c>
      <c r="I21" s="42" t="s">
        <v>0</v>
      </c>
      <c r="J21" s="43" t="s">
        <v>2</v>
      </c>
      <c r="K21" s="44">
        <v>0</v>
      </c>
      <c r="L21" s="43" t="s">
        <v>2</v>
      </c>
      <c r="M21" s="7">
        <v>64435000000</v>
      </c>
      <c r="N21" s="7">
        <v>64704376961</v>
      </c>
      <c r="O21" s="44">
        <v>1</v>
      </c>
      <c r="P21" s="44">
        <v>0.1075</v>
      </c>
      <c r="Q21" s="44">
        <v>0.1075</v>
      </c>
      <c r="R21" s="7">
        <v>214947619695.04004</v>
      </c>
      <c r="S21" s="7">
        <v>216254206269</v>
      </c>
      <c r="T21" s="6">
        <f t="shared" si="1"/>
        <v>6926762500</v>
      </c>
      <c r="U21" s="40"/>
    </row>
    <row r="22" spans="1:24" ht="26.25" customHeight="1" x14ac:dyDescent="0.2">
      <c r="A22" s="88"/>
      <c r="B22" s="27">
        <v>18</v>
      </c>
      <c r="C22" s="24" t="s">
        <v>24</v>
      </c>
      <c r="D22" s="18" t="s">
        <v>30</v>
      </c>
      <c r="E22" s="19" t="s">
        <v>25</v>
      </c>
      <c r="F22" s="41">
        <v>39503</v>
      </c>
      <c r="G22" s="41">
        <f t="shared" si="0"/>
        <v>39685</v>
      </c>
      <c r="H22" s="42">
        <v>182</v>
      </c>
      <c r="I22" s="42" t="s">
        <v>0</v>
      </c>
      <c r="J22" s="43">
        <v>1500000000</v>
      </c>
      <c r="K22" s="44">
        <v>0</v>
      </c>
      <c r="L22" s="43">
        <v>1500000000</v>
      </c>
      <c r="M22" s="7">
        <v>1421894991</v>
      </c>
      <c r="N22" s="7">
        <v>1500000000</v>
      </c>
      <c r="O22" s="44">
        <v>1</v>
      </c>
      <c r="P22" s="44">
        <v>0.1094</v>
      </c>
      <c r="Q22" s="44">
        <v>0.1087</v>
      </c>
      <c r="R22" s="7">
        <v>214938876036.04004</v>
      </c>
      <c r="S22" s="7">
        <v>216254206269</v>
      </c>
      <c r="T22" s="6">
        <f t="shared" si="1"/>
        <v>154559985.52169999</v>
      </c>
      <c r="U22" s="40"/>
    </row>
    <row r="23" spans="1:24" ht="26.25" customHeight="1" x14ac:dyDescent="0.2">
      <c r="A23" s="88"/>
      <c r="B23" s="27">
        <v>19</v>
      </c>
      <c r="C23" s="24" t="s">
        <v>23</v>
      </c>
      <c r="D23" s="18" t="s">
        <v>28</v>
      </c>
      <c r="E23" s="19" t="s">
        <v>29</v>
      </c>
      <c r="F23" s="41">
        <v>39505</v>
      </c>
      <c r="G23" s="41">
        <f t="shared" si="0"/>
        <v>39519</v>
      </c>
      <c r="H23" s="42">
        <v>14</v>
      </c>
      <c r="I23" s="42" t="s">
        <v>0</v>
      </c>
      <c r="J23" s="43" t="s">
        <v>2</v>
      </c>
      <c r="K23" s="44">
        <v>0</v>
      </c>
      <c r="L23" s="43" t="s">
        <v>2</v>
      </c>
      <c r="M23" s="7">
        <v>38850000000</v>
      </c>
      <c r="N23" s="7">
        <v>39012416310</v>
      </c>
      <c r="O23" s="44">
        <v>1</v>
      </c>
      <c r="P23" s="44">
        <v>0.1075</v>
      </c>
      <c r="Q23" s="44">
        <v>0.1075</v>
      </c>
      <c r="R23" s="7">
        <v>217188876036.04004</v>
      </c>
      <c r="S23" s="7">
        <v>218513612619</v>
      </c>
      <c r="T23" s="6">
        <f t="shared" si="1"/>
        <v>4176375000</v>
      </c>
      <c r="U23" s="40"/>
    </row>
    <row r="24" spans="1:24" ht="26.25" customHeight="1" x14ac:dyDescent="0.2">
      <c r="A24" s="88"/>
      <c r="B24" s="27">
        <v>20</v>
      </c>
      <c r="C24" s="24" t="s">
        <v>23</v>
      </c>
      <c r="D24" s="18" t="s">
        <v>28</v>
      </c>
      <c r="E24" s="19" t="s">
        <v>29</v>
      </c>
      <c r="F24" s="41">
        <v>39507</v>
      </c>
      <c r="G24" s="41">
        <f t="shared" si="0"/>
        <v>39521</v>
      </c>
      <c r="H24" s="42">
        <v>14</v>
      </c>
      <c r="I24" s="42" t="s">
        <v>0</v>
      </c>
      <c r="J24" s="43" t="s">
        <v>2</v>
      </c>
      <c r="K24" s="44">
        <v>0</v>
      </c>
      <c r="L24" s="43" t="s">
        <v>2</v>
      </c>
      <c r="M24" s="7">
        <v>57550000000</v>
      </c>
      <c r="N24" s="7">
        <v>57807375110</v>
      </c>
      <c r="O24" s="44">
        <v>1</v>
      </c>
      <c r="P24" s="44">
        <v>0.115</v>
      </c>
      <c r="Q24" s="44">
        <v>0.115</v>
      </c>
      <c r="R24" s="7">
        <v>219698876036.04004</v>
      </c>
      <c r="S24" s="7">
        <v>221034452561</v>
      </c>
      <c r="T24" s="6">
        <f t="shared" si="1"/>
        <v>6618250000</v>
      </c>
      <c r="U24" s="40"/>
    </row>
    <row r="25" spans="1:24" ht="26.25" customHeight="1" x14ac:dyDescent="0.2">
      <c r="A25" s="88"/>
      <c r="B25" s="27">
        <v>21</v>
      </c>
      <c r="C25" s="24" t="s">
        <v>23</v>
      </c>
      <c r="D25" s="18" t="s">
        <v>28</v>
      </c>
      <c r="E25" s="19" t="s">
        <v>29</v>
      </c>
      <c r="F25" s="41">
        <v>39512</v>
      </c>
      <c r="G25" s="41">
        <f t="shared" si="0"/>
        <v>39526</v>
      </c>
      <c r="H25" s="42">
        <v>14</v>
      </c>
      <c r="I25" s="42" t="s">
        <v>0</v>
      </c>
      <c r="J25" s="43" t="s">
        <v>2</v>
      </c>
      <c r="K25" s="44">
        <v>0</v>
      </c>
      <c r="L25" s="43" t="s">
        <v>2</v>
      </c>
      <c r="M25" s="7">
        <v>41820000000</v>
      </c>
      <c r="N25" s="7">
        <v>42007027404</v>
      </c>
      <c r="O25" s="44">
        <v>1</v>
      </c>
      <c r="P25" s="44">
        <v>0.115</v>
      </c>
      <c r="Q25" s="44">
        <v>0.115</v>
      </c>
      <c r="R25" s="7">
        <v>211218876036.04004</v>
      </c>
      <c r="S25" s="7">
        <v>212531195785</v>
      </c>
      <c r="T25" s="6">
        <f t="shared" si="1"/>
        <v>4809300000</v>
      </c>
      <c r="U25" s="40"/>
    </row>
    <row r="26" spans="1:24" ht="26.25" customHeight="1" x14ac:dyDescent="0.2">
      <c r="A26" s="88"/>
      <c r="B26" s="27">
        <v>22</v>
      </c>
      <c r="C26" s="24" t="s">
        <v>23</v>
      </c>
      <c r="D26" s="18" t="s">
        <v>28</v>
      </c>
      <c r="E26" s="19" t="s">
        <v>29</v>
      </c>
      <c r="F26" s="41">
        <v>39514</v>
      </c>
      <c r="G26" s="41">
        <f t="shared" si="0"/>
        <v>39528</v>
      </c>
      <c r="H26" s="42">
        <v>14</v>
      </c>
      <c r="I26" s="42" t="s">
        <v>0</v>
      </c>
      <c r="J26" s="43" t="s">
        <v>2</v>
      </c>
      <c r="K26" s="44">
        <v>0</v>
      </c>
      <c r="L26" s="43" t="s">
        <v>2</v>
      </c>
      <c r="M26" s="7">
        <v>58230000000</v>
      </c>
      <c r="N26" s="7">
        <v>58490416206</v>
      </c>
      <c r="O26" s="44">
        <v>1</v>
      </c>
      <c r="P26" s="44">
        <v>0.115</v>
      </c>
      <c r="Q26" s="44">
        <v>0.115</v>
      </c>
      <c r="R26" s="7">
        <v>205013876036.04004</v>
      </c>
      <c r="S26" s="7">
        <v>206317235030</v>
      </c>
      <c r="T26" s="6">
        <f t="shared" si="1"/>
        <v>6696450000</v>
      </c>
      <c r="U26" s="40"/>
    </row>
    <row r="27" spans="1:24" ht="26.25" customHeight="1" x14ac:dyDescent="0.2">
      <c r="A27" s="88"/>
      <c r="B27" s="27">
        <v>23</v>
      </c>
      <c r="C27" s="24" t="s">
        <v>23</v>
      </c>
      <c r="D27" s="18" t="s">
        <v>28</v>
      </c>
      <c r="E27" s="19" t="s">
        <v>29</v>
      </c>
      <c r="F27" s="41">
        <v>39519</v>
      </c>
      <c r="G27" s="41">
        <f t="shared" si="0"/>
        <v>39533</v>
      </c>
      <c r="H27" s="42">
        <v>14</v>
      </c>
      <c r="I27" s="42" t="s">
        <v>0</v>
      </c>
      <c r="J27" s="43" t="s">
        <v>2</v>
      </c>
      <c r="K27" s="44">
        <v>0</v>
      </c>
      <c r="L27" s="43" t="s">
        <v>2</v>
      </c>
      <c r="M27" s="7">
        <v>40130000000</v>
      </c>
      <c r="N27" s="7">
        <v>40309469386</v>
      </c>
      <c r="O27" s="44">
        <v>1</v>
      </c>
      <c r="P27" s="44">
        <v>0.115</v>
      </c>
      <c r="Q27" s="44">
        <v>0.115</v>
      </c>
      <c r="R27" s="7">
        <v>206293876036.04004</v>
      </c>
      <c r="S27" s="7">
        <v>207614288106</v>
      </c>
      <c r="T27" s="6">
        <f t="shared" si="1"/>
        <v>4614950000</v>
      </c>
      <c r="U27" s="40"/>
    </row>
    <row r="28" spans="1:24" ht="26.25" customHeight="1" x14ac:dyDescent="0.2">
      <c r="A28" s="88"/>
      <c r="B28" s="27">
        <v>24</v>
      </c>
      <c r="C28" s="24" t="s">
        <v>23</v>
      </c>
      <c r="D28" s="18" t="s">
        <v>28</v>
      </c>
      <c r="E28" s="19" t="s">
        <v>29</v>
      </c>
      <c r="F28" s="41">
        <v>39521</v>
      </c>
      <c r="G28" s="41">
        <f t="shared" si="0"/>
        <v>39535</v>
      </c>
      <c r="H28" s="42">
        <v>14</v>
      </c>
      <c r="I28" s="42" t="s">
        <v>0</v>
      </c>
      <c r="J28" s="43" t="s">
        <v>2</v>
      </c>
      <c r="K28" s="44">
        <v>0</v>
      </c>
      <c r="L28" s="43" t="s">
        <v>2</v>
      </c>
      <c r="M28" s="7">
        <v>58940000000</v>
      </c>
      <c r="N28" s="7">
        <v>59272356766</v>
      </c>
      <c r="O28" s="44">
        <v>1</v>
      </c>
      <c r="P28" s="44">
        <v>0.14499999999999999</v>
      </c>
      <c r="Q28" s="44">
        <v>0.14499999999999999</v>
      </c>
      <c r="R28" s="7">
        <v>207683876036.04004</v>
      </c>
      <c r="S28" s="7">
        <v>209079269762</v>
      </c>
      <c r="T28" s="6">
        <f t="shared" si="1"/>
        <v>8546299999.999999</v>
      </c>
      <c r="U28" s="40"/>
    </row>
    <row r="29" spans="1:24" ht="26.25" customHeight="1" x14ac:dyDescent="0.2">
      <c r="A29" s="88"/>
      <c r="B29" s="27">
        <v>25</v>
      </c>
      <c r="C29" s="24" t="s">
        <v>23</v>
      </c>
      <c r="D29" s="18" t="s">
        <v>28</v>
      </c>
      <c r="E29" s="19" t="s">
        <v>29</v>
      </c>
      <c r="F29" s="41">
        <v>39526</v>
      </c>
      <c r="G29" s="41">
        <f t="shared" si="0"/>
        <v>39540</v>
      </c>
      <c r="H29" s="42">
        <v>14</v>
      </c>
      <c r="I29" s="42" t="s">
        <v>0</v>
      </c>
      <c r="J29" s="43" t="s">
        <v>2</v>
      </c>
      <c r="K29" s="44">
        <v>0</v>
      </c>
      <c r="L29" s="43" t="s">
        <v>2</v>
      </c>
      <c r="M29" s="7">
        <v>38430000000</v>
      </c>
      <c r="N29" s="7">
        <v>38646702927</v>
      </c>
      <c r="O29" s="44">
        <v>1</v>
      </c>
      <c r="P29" s="44">
        <v>0.14499999999999999</v>
      </c>
      <c r="Q29" s="44">
        <v>0.14499999999999999</v>
      </c>
      <c r="R29" s="7">
        <v>204293876036.04004</v>
      </c>
      <c r="S29" s="7">
        <v>205718945285</v>
      </c>
      <c r="T29" s="6">
        <f>Q29*M29</f>
        <v>5572350000</v>
      </c>
      <c r="U29" s="40"/>
    </row>
    <row r="30" spans="1:24" ht="26.25" customHeight="1" x14ac:dyDescent="0.2">
      <c r="A30" s="88"/>
      <c r="B30" s="27">
        <v>26</v>
      </c>
      <c r="C30" s="24" t="s">
        <v>23</v>
      </c>
      <c r="D30" s="18" t="s">
        <v>28</v>
      </c>
      <c r="E30" s="19" t="s">
        <v>29</v>
      </c>
      <c r="F30" s="41">
        <v>39528</v>
      </c>
      <c r="G30" s="41">
        <f t="shared" si="0"/>
        <v>39542</v>
      </c>
      <c r="H30" s="42">
        <v>14</v>
      </c>
      <c r="I30" s="42" t="s">
        <v>0</v>
      </c>
      <c r="J30" s="43" t="s">
        <v>2</v>
      </c>
      <c r="K30" s="44">
        <v>0</v>
      </c>
      <c r="L30" s="43" t="s">
        <v>2</v>
      </c>
      <c r="M30" s="7">
        <v>65810000000</v>
      </c>
      <c r="N30" s="7">
        <v>66181096009</v>
      </c>
      <c r="O30" s="44">
        <v>1</v>
      </c>
      <c r="P30" s="44">
        <v>0.14499999999999999</v>
      </c>
      <c r="Q30" s="44">
        <v>0.14499999999999999</v>
      </c>
      <c r="R30" s="7">
        <v>211873876036.04004</v>
      </c>
      <c r="S30" s="7">
        <v>213409625088</v>
      </c>
      <c r="T30" s="6">
        <f t="shared" si="1"/>
        <v>9542450000</v>
      </c>
      <c r="U30" s="40"/>
      <c r="V30" s="45"/>
      <c r="W30" s="45"/>
      <c r="X30" s="45"/>
    </row>
    <row r="31" spans="1:24" ht="26.25" customHeight="1" x14ac:dyDescent="0.2">
      <c r="A31" s="88"/>
      <c r="B31" s="27">
        <v>27</v>
      </c>
      <c r="C31" s="24" t="s">
        <v>24</v>
      </c>
      <c r="D31" s="18" t="s">
        <v>30</v>
      </c>
      <c r="E31" s="19" t="s">
        <v>25</v>
      </c>
      <c r="F31" s="41">
        <v>39531</v>
      </c>
      <c r="G31" s="41">
        <f t="shared" si="0"/>
        <v>39713</v>
      </c>
      <c r="H31" s="42">
        <v>182</v>
      </c>
      <c r="I31" s="42" t="s">
        <v>0</v>
      </c>
      <c r="J31" s="43">
        <v>1500000000</v>
      </c>
      <c r="K31" s="44">
        <v>0</v>
      </c>
      <c r="L31" s="43">
        <v>1500000000</v>
      </c>
      <c r="M31" s="7">
        <v>1392635475</v>
      </c>
      <c r="N31" s="7">
        <v>1500000000</v>
      </c>
      <c r="O31" s="44">
        <v>1</v>
      </c>
      <c r="P31" s="44">
        <v>0.16700000000000001</v>
      </c>
      <c r="Q31" s="44">
        <v>0.1525</v>
      </c>
      <c r="R31" s="7">
        <v>211837880614.50003</v>
      </c>
      <c r="S31" s="7">
        <v>213409625088</v>
      </c>
      <c r="T31" s="6">
        <f t="shared" si="1"/>
        <v>212376909.9375</v>
      </c>
      <c r="U31" s="40"/>
      <c r="V31" s="45"/>
      <c r="W31" s="45"/>
      <c r="X31" s="45"/>
    </row>
    <row r="32" spans="1:24" ht="26.25" customHeight="1" x14ac:dyDescent="0.2">
      <c r="A32" s="88"/>
      <c r="B32" s="27">
        <v>28</v>
      </c>
      <c r="C32" s="24" t="s">
        <v>23</v>
      </c>
      <c r="D32" s="18" t="s">
        <v>28</v>
      </c>
      <c r="E32" s="19" t="s">
        <v>29</v>
      </c>
      <c r="F32" s="41">
        <v>39533</v>
      </c>
      <c r="G32" s="41">
        <f t="shared" ref="G32:G38" si="2">+F32+H32</f>
        <v>39547</v>
      </c>
      <c r="H32" s="42">
        <v>14</v>
      </c>
      <c r="I32" s="42" t="s">
        <v>0</v>
      </c>
      <c r="J32" s="43" t="s">
        <v>2</v>
      </c>
      <c r="K32" s="44">
        <v>0</v>
      </c>
      <c r="L32" s="43" t="s">
        <v>2</v>
      </c>
      <c r="M32" s="7">
        <v>42890000000</v>
      </c>
      <c r="N32" s="7">
        <v>43131852421</v>
      </c>
      <c r="O32" s="44">
        <v>1</v>
      </c>
      <c r="P32" s="44">
        <v>0.14499999999999999</v>
      </c>
      <c r="Q32" s="44">
        <v>0.14499999999999999</v>
      </c>
      <c r="R32" s="7">
        <v>214597880614.50003</v>
      </c>
      <c r="S32" s="7">
        <v>216232008123</v>
      </c>
      <c r="T32" s="6">
        <f t="shared" si="1"/>
        <v>6219050000</v>
      </c>
      <c r="U32" s="40"/>
      <c r="V32" s="45"/>
      <c r="W32" s="45"/>
      <c r="X32" s="45"/>
    </row>
    <row r="33" spans="1:24" ht="26.25" customHeight="1" x14ac:dyDescent="0.2">
      <c r="A33" s="88"/>
      <c r="B33" s="27">
        <v>29</v>
      </c>
      <c r="C33" s="24" t="s">
        <v>23</v>
      </c>
      <c r="D33" s="18" t="s">
        <v>28</v>
      </c>
      <c r="E33" s="19" t="s">
        <v>29</v>
      </c>
      <c r="F33" s="41">
        <v>39535</v>
      </c>
      <c r="G33" s="41">
        <f t="shared" si="2"/>
        <v>39549</v>
      </c>
      <c r="H33" s="42">
        <v>14</v>
      </c>
      <c r="I33" s="42" t="s">
        <v>0</v>
      </c>
      <c r="J33" s="43" t="s">
        <v>2</v>
      </c>
      <c r="K33" s="44">
        <v>0</v>
      </c>
      <c r="L33" s="43" t="s">
        <v>2</v>
      </c>
      <c r="M33" s="7">
        <v>71950000000</v>
      </c>
      <c r="N33" s="7">
        <v>72355718855</v>
      </c>
      <c r="O33" s="44">
        <v>1</v>
      </c>
      <c r="P33" s="44">
        <v>0.14499999999999999</v>
      </c>
      <c r="Q33" s="44">
        <v>0.14499999999999999</v>
      </c>
      <c r="R33" s="7">
        <v>227607880614.50003</v>
      </c>
      <c r="S33" s="7">
        <v>229315370212</v>
      </c>
      <c r="T33" s="6">
        <f t="shared" si="1"/>
        <v>10432750000</v>
      </c>
      <c r="U33" s="40"/>
      <c r="V33" s="45"/>
      <c r="W33" s="45"/>
      <c r="X33" s="45"/>
    </row>
    <row r="34" spans="1:24" ht="26.25" customHeight="1" x14ac:dyDescent="0.2">
      <c r="A34" s="88"/>
      <c r="B34" s="27">
        <v>30</v>
      </c>
      <c r="C34" s="24" t="s">
        <v>23</v>
      </c>
      <c r="D34" s="18" t="s">
        <v>28</v>
      </c>
      <c r="E34" s="19" t="s">
        <v>29</v>
      </c>
      <c r="F34" s="41">
        <v>39540</v>
      </c>
      <c r="G34" s="41">
        <f t="shared" si="2"/>
        <v>39554</v>
      </c>
      <c r="H34" s="42">
        <v>14</v>
      </c>
      <c r="I34" s="42" t="s">
        <v>0</v>
      </c>
      <c r="J34" s="43" t="s">
        <v>2</v>
      </c>
      <c r="K34" s="44">
        <v>0</v>
      </c>
      <c r="L34" s="43" t="s">
        <v>2</v>
      </c>
      <c r="M34" s="7">
        <v>35150000000</v>
      </c>
      <c r="N34" s="7">
        <v>35348207335</v>
      </c>
      <c r="O34" s="44">
        <v>1</v>
      </c>
      <c r="P34" s="44">
        <v>0.14499999999999999</v>
      </c>
      <c r="Q34" s="44">
        <v>0.14499999999999999</v>
      </c>
      <c r="R34" s="7">
        <v>224327880614.50003</v>
      </c>
      <c r="S34" s="7">
        <v>226016874620</v>
      </c>
      <c r="T34" s="6">
        <f t="shared" si="1"/>
        <v>5096750000</v>
      </c>
      <c r="U34" s="40"/>
      <c r="V34" s="45"/>
      <c r="W34" s="45"/>
      <c r="X34" s="45"/>
    </row>
    <row r="35" spans="1:24" ht="26.25" customHeight="1" x14ac:dyDescent="0.2">
      <c r="A35" s="88"/>
      <c r="B35" s="27">
        <v>31</v>
      </c>
      <c r="C35" s="24" t="s">
        <v>23</v>
      </c>
      <c r="D35" s="18" t="s">
        <v>28</v>
      </c>
      <c r="E35" s="19" t="s">
        <v>29</v>
      </c>
      <c r="F35" s="41">
        <v>39542</v>
      </c>
      <c r="G35" s="41">
        <f t="shared" si="2"/>
        <v>39556</v>
      </c>
      <c r="H35" s="42">
        <v>14</v>
      </c>
      <c r="I35" s="42" t="s">
        <v>0</v>
      </c>
      <c r="J35" s="43" t="s">
        <v>2</v>
      </c>
      <c r="K35" s="44">
        <v>0</v>
      </c>
      <c r="L35" s="43" t="s">
        <v>2</v>
      </c>
      <c r="M35" s="7">
        <v>62640000000</v>
      </c>
      <c r="N35" s="7">
        <v>62993220696</v>
      </c>
      <c r="O35" s="44">
        <v>1</v>
      </c>
      <c r="P35" s="44">
        <v>0.14499999999999999</v>
      </c>
      <c r="Q35" s="44">
        <v>0.14499999999999999</v>
      </c>
      <c r="R35" s="7">
        <v>221157880614.50003</v>
      </c>
      <c r="S35" s="7">
        <v>222828999307</v>
      </c>
      <c r="T35" s="6">
        <f t="shared" si="1"/>
        <v>9082800000</v>
      </c>
      <c r="U35" s="40"/>
      <c r="V35" s="45"/>
      <c r="W35" s="45"/>
      <c r="X35" s="45"/>
    </row>
    <row r="36" spans="1:24" ht="26.25" customHeight="1" x14ac:dyDescent="0.2">
      <c r="A36" s="88"/>
      <c r="B36" s="28">
        <v>32</v>
      </c>
      <c r="C36" s="24" t="s">
        <v>23</v>
      </c>
      <c r="D36" s="18" t="s">
        <v>28</v>
      </c>
      <c r="E36" s="19" t="s">
        <v>29</v>
      </c>
      <c r="F36" s="46">
        <v>39547</v>
      </c>
      <c r="G36" s="46">
        <f t="shared" si="2"/>
        <v>39561</v>
      </c>
      <c r="H36" s="47">
        <v>14</v>
      </c>
      <c r="I36" s="47" t="s">
        <v>0</v>
      </c>
      <c r="J36" s="43" t="s">
        <v>2</v>
      </c>
      <c r="K36" s="44">
        <v>0</v>
      </c>
      <c r="L36" s="43" t="s">
        <v>2</v>
      </c>
      <c r="M36" s="7">
        <v>46690000000</v>
      </c>
      <c r="N36" s="7">
        <v>46953280241</v>
      </c>
      <c r="O36" s="44">
        <v>1</v>
      </c>
      <c r="P36" s="44">
        <v>0.14499999999999999</v>
      </c>
      <c r="Q36" s="44">
        <v>0.14499999999999999</v>
      </c>
      <c r="R36" s="7">
        <f>R35-42890000000+M36</f>
        <v>224957880614.50003</v>
      </c>
      <c r="S36" s="7">
        <f>S35-43131852421+N36</f>
        <v>226650427127</v>
      </c>
      <c r="T36" s="6">
        <f t="shared" si="1"/>
        <v>6770050000</v>
      </c>
      <c r="U36" s="40"/>
      <c r="V36" s="45"/>
      <c r="W36" s="45"/>
      <c r="X36" s="45"/>
    </row>
    <row r="37" spans="1:24" ht="26.25" customHeight="1" x14ac:dyDescent="0.2">
      <c r="A37" s="88"/>
      <c r="B37" s="28">
        <v>33</v>
      </c>
      <c r="C37" s="24" t="s">
        <v>23</v>
      </c>
      <c r="D37" s="18" t="s">
        <v>28</v>
      </c>
      <c r="E37" s="19" t="s">
        <v>29</v>
      </c>
      <c r="F37" s="46">
        <v>39549</v>
      </c>
      <c r="G37" s="46">
        <f t="shared" si="2"/>
        <v>39562</v>
      </c>
      <c r="H37" s="47">
        <v>13</v>
      </c>
      <c r="I37" s="47" t="s">
        <v>0</v>
      </c>
      <c r="J37" s="43" t="s">
        <v>2</v>
      </c>
      <c r="K37" s="44">
        <v>0</v>
      </c>
      <c r="L37" s="43" t="s">
        <v>2</v>
      </c>
      <c r="M37" s="7">
        <v>62055000000</v>
      </c>
      <c r="N37" s="7">
        <v>62379926185.5</v>
      </c>
      <c r="O37" s="44">
        <v>1</v>
      </c>
      <c r="P37" s="44">
        <v>0.14499999999999999</v>
      </c>
      <c r="Q37" s="44">
        <v>0.14499999999999999</v>
      </c>
      <c r="R37" s="7">
        <f>R36-71950000000+M37</f>
        <v>215062880614.50003</v>
      </c>
      <c r="S37" s="7">
        <f>S36-72355718855+N37</f>
        <v>216674634457.5</v>
      </c>
      <c r="T37" s="6">
        <f t="shared" si="1"/>
        <v>8997975000</v>
      </c>
      <c r="U37" s="40"/>
      <c r="V37" s="45"/>
      <c r="W37" s="45"/>
      <c r="X37" s="45"/>
    </row>
    <row r="38" spans="1:24" ht="26.25" customHeight="1" x14ac:dyDescent="0.2">
      <c r="A38" s="88"/>
      <c r="B38" s="28">
        <v>34</v>
      </c>
      <c r="C38" s="24" t="s">
        <v>23</v>
      </c>
      <c r="D38" s="18" t="s">
        <v>28</v>
      </c>
      <c r="E38" s="19" t="s">
        <v>29</v>
      </c>
      <c r="F38" s="46">
        <v>39554</v>
      </c>
      <c r="G38" s="46">
        <f t="shared" si="2"/>
        <v>39568</v>
      </c>
      <c r="H38" s="47">
        <v>14</v>
      </c>
      <c r="I38" s="47" t="s">
        <v>0</v>
      </c>
      <c r="J38" s="43" t="s">
        <v>2</v>
      </c>
      <c r="K38" s="44">
        <v>0</v>
      </c>
      <c r="L38" s="43" t="s">
        <v>2</v>
      </c>
      <c r="M38" s="7">
        <v>32490000000</v>
      </c>
      <c r="N38" s="7">
        <v>32673207861</v>
      </c>
      <c r="O38" s="44">
        <v>1</v>
      </c>
      <c r="P38" s="44">
        <v>0.14499999999999999</v>
      </c>
      <c r="Q38" s="44">
        <v>0.14499999999999999</v>
      </c>
      <c r="R38" s="7">
        <f t="shared" ref="R38:S40" si="3">+R37-M34+M38</f>
        <v>212402880614.50003</v>
      </c>
      <c r="S38" s="7">
        <f t="shared" si="3"/>
        <v>213999634983.5</v>
      </c>
      <c r="T38" s="6">
        <f t="shared" si="1"/>
        <v>4711050000</v>
      </c>
      <c r="U38" s="40"/>
      <c r="V38" s="45"/>
      <c r="W38" s="45"/>
      <c r="X38" s="45"/>
    </row>
    <row r="39" spans="1:24" ht="26.25" customHeight="1" x14ac:dyDescent="0.2">
      <c r="A39" s="88"/>
      <c r="B39" s="28">
        <v>35</v>
      </c>
      <c r="C39" s="24" t="s">
        <v>23</v>
      </c>
      <c r="D39" s="18" t="s">
        <v>28</v>
      </c>
      <c r="E39" s="19" t="s">
        <v>29</v>
      </c>
      <c r="F39" s="46">
        <v>39556</v>
      </c>
      <c r="G39" s="46">
        <f t="shared" ref="G39:G44" si="4">+F39+H39</f>
        <v>39568</v>
      </c>
      <c r="H39" s="47">
        <v>12</v>
      </c>
      <c r="I39" s="47" t="s">
        <v>0</v>
      </c>
      <c r="J39" s="43" t="s">
        <v>2</v>
      </c>
      <c r="K39" s="44">
        <v>0</v>
      </c>
      <c r="L39" s="43" t="s">
        <v>2</v>
      </c>
      <c r="M39" s="7">
        <v>67270000000</v>
      </c>
      <c r="N39" s="7">
        <v>67595136091</v>
      </c>
      <c r="O39" s="44">
        <v>1</v>
      </c>
      <c r="P39" s="44">
        <v>0.14499999999999999</v>
      </c>
      <c r="Q39" s="44">
        <v>0.14499999999999999</v>
      </c>
      <c r="R39" s="7">
        <f t="shared" si="3"/>
        <v>217032880614.50003</v>
      </c>
      <c r="S39" s="7">
        <f t="shared" si="3"/>
        <v>218601550378.5</v>
      </c>
      <c r="T39" s="6">
        <f t="shared" si="1"/>
        <v>9754150000</v>
      </c>
      <c r="U39" s="40"/>
      <c r="V39" s="45"/>
      <c r="W39" s="45"/>
      <c r="X39" s="45"/>
    </row>
    <row r="40" spans="1:24" ht="26.25" customHeight="1" x14ac:dyDescent="0.2">
      <c r="A40" s="88"/>
      <c r="B40" s="28">
        <v>36</v>
      </c>
      <c r="C40" s="24" t="s">
        <v>23</v>
      </c>
      <c r="D40" s="18" t="s">
        <v>28</v>
      </c>
      <c r="E40" s="19" t="s">
        <v>29</v>
      </c>
      <c r="F40" s="46">
        <v>39561</v>
      </c>
      <c r="G40" s="46">
        <f t="shared" si="4"/>
        <v>39575</v>
      </c>
      <c r="H40" s="47">
        <v>14</v>
      </c>
      <c r="I40" s="47" t="s">
        <v>0</v>
      </c>
      <c r="J40" s="43" t="s">
        <v>2</v>
      </c>
      <c r="K40" s="44">
        <v>0</v>
      </c>
      <c r="L40" s="43" t="s">
        <v>2</v>
      </c>
      <c r="M40" s="7">
        <v>44120000000</v>
      </c>
      <c r="N40" s="7">
        <v>44368788268</v>
      </c>
      <c r="O40" s="44">
        <v>1</v>
      </c>
      <c r="P40" s="44">
        <v>0.14499999999999999</v>
      </c>
      <c r="Q40" s="44">
        <v>0.14499999999999999</v>
      </c>
      <c r="R40" s="7">
        <f t="shared" si="3"/>
        <v>214462880614.50003</v>
      </c>
      <c r="S40" s="7">
        <f t="shared" si="3"/>
        <v>216017058405.5</v>
      </c>
      <c r="T40" s="6">
        <f t="shared" si="1"/>
        <v>6397400000</v>
      </c>
      <c r="U40" s="40"/>
      <c r="V40" s="45"/>
      <c r="W40" s="45"/>
      <c r="X40" s="45"/>
    </row>
    <row r="41" spans="1:24" ht="26.25" customHeight="1" x14ac:dyDescent="0.2">
      <c r="A41" s="88"/>
      <c r="B41" s="28">
        <v>37</v>
      </c>
      <c r="C41" s="24" t="s">
        <v>23</v>
      </c>
      <c r="D41" s="18" t="s">
        <v>28</v>
      </c>
      <c r="E41" s="19" t="s">
        <v>29</v>
      </c>
      <c r="F41" s="46">
        <v>39562</v>
      </c>
      <c r="G41" s="46">
        <f t="shared" si="4"/>
        <v>39577</v>
      </c>
      <c r="H41" s="47">
        <v>15</v>
      </c>
      <c r="I41" s="47" t="s">
        <v>0</v>
      </c>
      <c r="J41" s="43" t="s">
        <v>2</v>
      </c>
      <c r="K41" s="44">
        <v>0</v>
      </c>
      <c r="L41" s="43" t="s">
        <v>2</v>
      </c>
      <c r="M41" s="7">
        <v>66865000000</v>
      </c>
      <c r="N41" s="7">
        <v>67289873583</v>
      </c>
      <c r="O41" s="44">
        <v>1</v>
      </c>
      <c r="P41" s="44">
        <v>0.1525</v>
      </c>
      <c r="Q41" s="44">
        <v>0.1525</v>
      </c>
      <c r="R41" s="7">
        <f>+R40-M37+M41</f>
        <v>219272880614.50003</v>
      </c>
      <c r="S41" s="7">
        <f>+S40-N37+N41</f>
        <v>220927005803</v>
      </c>
      <c r="T41" s="6">
        <f t="shared" si="1"/>
        <v>10196912500</v>
      </c>
      <c r="U41" s="40"/>
      <c r="V41" s="45"/>
      <c r="W41" s="45"/>
      <c r="X41" s="45"/>
    </row>
    <row r="42" spans="1:24" ht="26.25" customHeight="1" x14ac:dyDescent="0.2">
      <c r="A42" s="88"/>
      <c r="B42" s="27">
        <v>38</v>
      </c>
      <c r="C42" s="24" t="s">
        <v>24</v>
      </c>
      <c r="D42" s="18" t="s">
        <v>30</v>
      </c>
      <c r="E42" s="19" t="s">
        <v>25</v>
      </c>
      <c r="F42" s="41">
        <v>39567</v>
      </c>
      <c r="G42" s="41">
        <f t="shared" si="4"/>
        <v>39748</v>
      </c>
      <c r="H42" s="42">
        <v>181</v>
      </c>
      <c r="I42" s="42" t="s">
        <v>0</v>
      </c>
      <c r="J42" s="43">
        <v>1500000000</v>
      </c>
      <c r="K42" s="44">
        <v>0</v>
      </c>
      <c r="L42" s="43">
        <v>1500000000</v>
      </c>
      <c r="M42" s="7">
        <v>1387116652.8</v>
      </c>
      <c r="N42" s="7">
        <v>1500000000</v>
      </c>
      <c r="O42" s="44">
        <v>1</v>
      </c>
      <c r="P42" s="44">
        <v>0.1648</v>
      </c>
      <c r="Q42" s="44">
        <v>0.16189999999999999</v>
      </c>
      <c r="R42" s="7">
        <f>R41-1429088250+M42</f>
        <v>219230909017.30002</v>
      </c>
      <c r="S42" s="7">
        <f>S41-1500000000+N42</f>
        <v>220927005803</v>
      </c>
      <c r="T42" s="6">
        <f t="shared" si="1"/>
        <v>224574186.08831999</v>
      </c>
      <c r="U42" s="40"/>
      <c r="V42" s="45"/>
      <c r="W42" s="45"/>
      <c r="X42" s="45"/>
    </row>
    <row r="43" spans="1:24" ht="26.25" customHeight="1" x14ac:dyDescent="0.2">
      <c r="A43" s="88"/>
      <c r="B43" s="29">
        <v>39</v>
      </c>
      <c r="C43" s="24" t="s">
        <v>23</v>
      </c>
      <c r="D43" s="18" t="s">
        <v>28</v>
      </c>
      <c r="E43" s="19" t="s">
        <v>29</v>
      </c>
      <c r="F43" s="48">
        <v>39568</v>
      </c>
      <c r="G43" s="48">
        <f t="shared" si="4"/>
        <v>39582</v>
      </c>
      <c r="H43" s="49">
        <v>14</v>
      </c>
      <c r="I43" s="49" t="s">
        <v>0</v>
      </c>
      <c r="J43" s="50" t="s">
        <v>2</v>
      </c>
      <c r="K43" s="51">
        <v>0</v>
      </c>
      <c r="L43" s="50" t="s">
        <v>2</v>
      </c>
      <c r="M43" s="11">
        <v>60080000000</v>
      </c>
      <c r="N43" s="11">
        <v>60436310448</v>
      </c>
      <c r="O43" s="51">
        <v>1</v>
      </c>
      <c r="P43" s="51">
        <v>0.1525</v>
      </c>
      <c r="Q43" s="51">
        <v>0.1525</v>
      </c>
      <c r="R43" s="11">
        <f>R42-32490000000+M43</f>
        <v>246820909017.30002</v>
      </c>
      <c r="S43" s="11">
        <f>S42-32673207861+N43</f>
        <v>248690108390</v>
      </c>
      <c r="T43" s="6">
        <f t="shared" si="1"/>
        <v>9162200000</v>
      </c>
      <c r="U43" s="40"/>
      <c r="V43" s="45"/>
      <c r="W43" s="45"/>
      <c r="X43" s="45"/>
    </row>
    <row r="44" spans="1:24" ht="26.25" customHeight="1" x14ac:dyDescent="0.2">
      <c r="A44" s="88"/>
      <c r="B44" s="28">
        <v>40</v>
      </c>
      <c r="C44" s="24" t="s">
        <v>23</v>
      </c>
      <c r="D44" s="18" t="s">
        <v>28</v>
      </c>
      <c r="E44" s="19" t="s">
        <v>29</v>
      </c>
      <c r="F44" s="46">
        <v>39568</v>
      </c>
      <c r="G44" s="46">
        <f t="shared" si="4"/>
        <v>39584</v>
      </c>
      <c r="H44" s="47">
        <v>16</v>
      </c>
      <c r="I44" s="47" t="s">
        <v>0</v>
      </c>
      <c r="J44" s="43" t="s">
        <v>2</v>
      </c>
      <c r="K44" s="44">
        <v>0</v>
      </c>
      <c r="L44" s="43" t="s">
        <v>2</v>
      </c>
      <c r="M44" s="7">
        <v>48250000000</v>
      </c>
      <c r="N44" s="7">
        <v>48577028850</v>
      </c>
      <c r="O44" s="44">
        <v>1</v>
      </c>
      <c r="P44" s="44">
        <v>0.1525</v>
      </c>
      <c r="Q44" s="44">
        <v>0.1525</v>
      </c>
      <c r="R44" s="7">
        <f>R43-67270000000+M44</f>
        <v>227800909017.30002</v>
      </c>
      <c r="S44" s="7">
        <f>S43-67595136091+N44</f>
        <v>229672001149</v>
      </c>
      <c r="T44" s="6">
        <f t="shared" si="1"/>
        <v>7358125000</v>
      </c>
      <c r="U44" s="40"/>
      <c r="V44" s="45"/>
      <c r="W44" s="45"/>
      <c r="X44" s="45"/>
    </row>
    <row r="45" spans="1:24" ht="26.25" customHeight="1" x14ac:dyDescent="0.2">
      <c r="A45" s="88"/>
      <c r="B45" s="28">
        <v>41</v>
      </c>
      <c r="C45" s="24" t="s">
        <v>23</v>
      </c>
      <c r="D45" s="18" t="s">
        <v>28</v>
      </c>
      <c r="E45" s="19" t="s">
        <v>29</v>
      </c>
      <c r="F45" s="46">
        <v>39575</v>
      </c>
      <c r="G45" s="46">
        <f t="shared" ref="G45:G51" si="5">+F45+H45</f>
        <v>39589</v>
      </c>
      <c r="H45" s="47">
        <v>14</v>
      </c>
      <c r="I45" s="47" t="s">
        <v>0</v>
      </c>
      <c r="J45" s="43" t="s">
        <v>2</v>
      </c>
      <c r="K45" s="44">
        <v>0</v>
      </c>
      <c r="L45" s="43" t="s">
        <v>2</v>
      </c>
      <c r="M45" s="7">
        <v>45320000000</v>
      </c>
      <c r="N45" s="7">
        <v>45588774792</v>
      </c>
      <c r="O45" s="44">
        <v>1</v>
      </c>
      <c r="P45" s="44">
        <v>0.1525</v>
      </c>
      <c r="Q45" s="44">
        <v>0.1525</v>
      </c>
      <c r="R45" s="7">
        <f>+R44-M40+M45</f>
        <v>229000909017.30002</v>
      </c>
      <c r="S45" s="7">
        <f>+S44-N40+N45</f>
        <v>230891987673</v>
      </c>
      <c r="T45" s="6">
        <f t="shared" si="1"/>
        <v>6911300000</v>
      </c>
      <c r="U45" s="40"/>
      <c r="V45" s="45"/>
      <c r="W45" s="45"/>
      <c r="X45" s="45"/>
    </row>
    <row r="46" spans="1:24" ht="26.25" customHeight="1" x14ac:dyDescent="0.2">
      <c r="A46" s="88"/>
      <c r="B46" s="28">
        <v>42</v>
      </c>
      <c r="C46" s="24" t="s">
        <v>23</v>
      </c>
      <c r="D46" s="18" t="s">
        <v>28</v>
      </c>
      <c r="E46" s="19" t="s">
        <v>29</v>
      </c>
      <c r="F46" s="46">
        <v>39577</v>
      </c>
      <c r="G46" s="46">
        <f t="shared" si="5"/>
        <v>39591</v>
      </c>
      <c r="H46" s="47">
        <v>14</v>
      </c>
      <c r="I46" s="47" t="s">
        <v>0</v>
      </c>
      <c r="J46" s="43" t="s">
        <v>2</v>
      </c>
      <c r="K46" s="44">
        <v>0</v>
      </c>
      <c r="L46" s="43" t="s">
        <v>2</v>
      </c>
      <c r="M46" s="7">
        <v>65000000000</v>
      </c>
      <c r="N46" s="7">
        <v>65385489000</v>
      </c>
      <c r="O46" s="44">
        <v>1</v>
      </c>
      <c r="P46" s="44">
        <v>0.1525</v>
      </c>
      <c r="Q46" s="44">
        <v>0.1525</v>
      </c>
      <c r="R46" s="7">
        <f>+R45-M41+M46</f>
        <v>227135909017.30002</v>
      </c>
      <c r="S46" s="7">
        <f>+S45-N41+N46</f>
        <v>228987603090</v>
      </c>
      <c r="T46" s="6">
        <f t="shared" si="1"/>
        <v>9912500000</v>
      </c>
      <c r="U46" s="40"/>
      <c r="V46" s="45"/>
      <c r="W46" s="45"/>
      <c r="X46" s="45"/>
    </row>
    <row r="47" spans="1:24" ht="26.25" customHeight="1" x14ac:dyDescent="0.2">
      <c r="A47" s="88"/>
      <c r="B47" s="28">
        <v>43</v>
      </c>
      <c r="C47" s="24" t="s">
        <v>23</v>
      </c>
      <c r="D47" s="18" t="s">
        <v>28</v>
      </c>
      <c r="E47" s="19" t="s">
        <v>29</v>
      </c>
      <c r="F47" s="46">
        <v>39582</v>
      </c>
      <c r="G47" s="46">
        <f t="shared" si="5"/>
        <v>39596</v>
      </c>
      <c r="H47" s="47">
        <v>14</v>
      </c>
      <c r="I47" s="47" t="s">
        <v>0</v>
      </c>
      <c r="J47" s="43" t="s">
        <v>2</v>
      </c>
      <c r="K47" s="44">
        <v>0</v>
      </c>
      <c r="L47" s="43" t="s">
        <v>2</v>
      </c>
      <c r="M47" s="7">
        <v>58285000000</v>
      </c>
      <c r="N47" s="7">
        <v>58630665021</v>
      </c>
      <c r="O47" s="44">
        <v>1</v>
      </c>
      <c r="P47" s="44">
        <v>0.1525</v>
      </c>
      <c r="Q47" s="44">
        <v>0.1525</v>
      </c>
      <c r="R47" s="7">
        <f>R46-60080000000+M47</f>
        <v>225340909017.30002</v>
      </c>
      <c r="S47" s="7">
        <f>S46-60436310448+N47</f>
        <v>227181957663</v>
      </c>
      <c r="T47" s="6">
        <f t="shared" si="1"/>
        <v>8888462500</v>
      </c>
      <c r="U47" s="40"/>
      <c r="V47" s="45"/>
      <c r="W47" s="45"/>
      <c r="X47" s="45"/>
    </row>
    <row r="48" spans="1:24" ht="26.25" customHeight="1" x14ac:dyDescent="0.2">
      <c r="A48" s="88"/>
      <c r="B48" s="28">
        <v>44</v>
      </c>
      <c r="C48" s="24" t="s">
        <v>23</v>
      </c>
      <c r="D48" s="18" t="s">
        <v>28</v>
      </c>
      <c r="E48" s="19" t="s">
        <v>29</v>
      </c>
      <c r="F48" s="46">
        <v>39584</v>
      </c>
      <c r="G48" s="46">
        <f t="shared" si="5"/>
        <v>39598</v>
      </c>
      <c r="H48" s="47">
        <v>14</v>
      </c>
      <c r="I48" s="47" t="s">
        <v>0</v>
      </c>
      <c r="J48" s="43" t="s">
        <v>2</v>
      </c>
      <c r="K48" s="44">
        <v>0</v>
      </c>
      <c r="L48" s="43" t="s">
        <v>2</v>
      </c>
      <c r="M48" s="7">
        <v>39485000000</v>
      </c>
      <c r="N48" s="7">
        <v>39719169741</v>
      </c>
      <c r="O48" s="44">
        <v>1</v>
      </c>
      <c r="P48" s="44">
        <v>0.1525</v>
      </c>
      <c r="Q48" s="44">
        <v>0.1525</v>
      </c>
      <c r="R48" s="7">
        <f>R47-48250000000+39485000000</f>
        <v>216575909017.30002</v>
      </c>
      <c r="S48" s="7">
        <f>S47-48577028850+39719169741</f>
        <v>218324098554</v>
      </c>
      <c r="T48" s="6">
        <f t="shared" si="1"/>
        <v>6021462500</v>
      </c>
      <c r="U48" s="40"/>
      <c r="V48" s="45"/>
      <c r="W48" s="45"/>
      <c r="X48" s="45"/>
    </row>
    <row r="49" spans="1:24" ht="26.25" customHeight="1" x14ac:dyDescent="0.2">
      <c r="A49" s="88"/>
      <c r="B49" s="28">
        <v>45</v>
      </c>
      <c r="C49" s="24" t="s">
        <v>23</v>
      </c>
      <c r="D49" s="18" t="s">
        <v>28</v>
      </c>
      <c r="E49" s="19" t="s">
        <v>29</v>
      </c>
      <c r="F49" s="46">
        <v>39589</v>
      </c>
      <c r="G49" s="46">
        <f t="shared" si="5"/>
        <v>39603</v>
      </c>
      <c r="H49" s="47">
        <v>14</v>
      </c>
      <c r="I49" s="47" t="s">
        <v>0</v>
      </c>
      <c r="J49" s="43" t="s">
        <v>2</v>
      </c>
      <c r="K49" s="44">
        <v>0</v>
      </c>
      <c r="L49" s="43" t="s">
        <v>2</v>
      </c>
      <c r="M49" s="7">
        <v>34050000000</v>
      </c>
      <c r="N49" s="7">
        <v>34251936930</v>
      </c>
      <c r="O49" s="44">
        <v>1</v>
      </c>
      <c r="P49" s="44">
        <v>0.1525</v>
      </c>
      <c r="Q49" s="44">
        <v>0.1525</v>
      </c>
      <c r="R49" s="7">
        <f>R48-45320000000+M49</f>
        <v>205305909017.30002</v>
      </c>
      <c r="S49" s="7">
        <f>S48-45588774792+N49</f>
        <v>206987260692</v>
      </c>
      <c r="T49" s="6">
        <f t="shared" si="1"/>
        <v>5192625000</v>
      </c>
      <c r="U49" s="40"/>
      <c r="V49" s="45"/>
      <c r="W49" s="45"/>
      <c r="X49" s="45"/>
    </row>
    <row r="50" spans="1:24" ht="26.25" customHeight="1" x14ac:dyDescent="0.2">
      <c r="A50" s="88"/>
      <c r="B50" s="28">
        <v>46</v>
      </c>
      <c r="C50" s="24" t="s">
        <v>23</v>
      </c>
      <c r="D50" s="18" t="s">
        <v>28</v>
      </c>
      <c r="E50" s="19" t="s">
        <v>29</v>
      </c>
      <c r="F50" s="46">
        <v>39591</v>
      </c>
      <c r="G50" s="46">
        <f t="shared" si="5"/>
        <v>39605</v>
      </c>
      <c r="H50" s="47">
        <v>14</v>
      </c>
      <c r="I50" s="47" t="s">
        <v>0</v>
      </c>
      <c r="J50" s="43" t="s">
        <v>2</v>
      </c>
      <c r="K50" s="44">
        <v>0</v>
      </c>
      <c r="L50" s="43" t="s">
        <v>2</v>
      </c>
      <c r="M50" s="7">
        <v>43950000000</v>
      </c>
      <c r="N50" s="7">
        <v>44210649870</v>
      </c>
      <c r="O50" s="44">
        <v>1</v>
      </c>
      <c r="P50" s="44">
        <v>0.1525</v>
      </c>
      <c r="Q50" s="44">
        <v>0.1525</v>
      </c>
      <c r="R50" s="7">
        <f>+R49-M46+M50</f>
        <v>184255909017.30002</v>
      </c>
      <c r="S50" s="7">
        <f>+S49-N46+N50</f>
        <v>185812421562</v>
      </c>
      <c r="T50" s="6">
        <f t="shared" si="1"/>
        <v>6702375000</v>
      </c>
      <c r="U50" s="40"/>
      <c r="V50" s="45"/>
      <c r="W50" s="45"/>
      <c r="X50" s="45"/>
    </row>
    <row r="51" spans="1:24" ht="26.25" customHeight="1" x14ac:dyDescent="0.2">
      <c r="A51" s="88"/>
      <c r="B51" s="27">
        <v>47</v>
      </c>
      <c r="C51" s="24" t="s">
        <v>24</v>
      </c>
      <c r="D51" s="18" t="s">
        <v>30</v>
      </c>
      <c r="E51" s="19" t="s">
        <v>25</v>
      </c>
      <c r="F51" s="41">
        <v>39594</v>
      </c>
      <c r="G51" s="41">
        <f t="shared" si="5"/>
        <v>39776</v>
      </c>
      <c r="H51" s="42">
        <v>182</v>
      </c>
      <c r="I51" s="42" t="s">
        <v>0</v>
      </c>
      <c r="J51" s="43">
        <v>1500000000</v>
      </c>
      <c r="K51" s="44">
        <v>0</v>
      </c>
      <c r="L51" s="43">
        <v>1500000000</v>
      </c>
      <c r="M51" s="7">
        <v>1386135085</v>
      </c>
      <c r="N51" s="7">
        <v>1500000000</v>
      </c>
      <c r="O51" s="44">
        <v>1</v>
      </c>
      <c r="P51" s="44">
        <v>0.16450000000000001</v>
      </c>
      <c r="Q51" s="44">
        <v>0.16250000000000001</v>
      </c>
      <c r="R51" s="7">
        <f>R50-1429540430+M51</f>
        <v>184212503672.30002</v>
      </c>
      <c r="S51" s="7">
        <f>S50-1500000000+N51</f>
        <v>185812421562</v>
      </c>
      <c r="T51" s="6">
        <f t="shared" si="1"/>
        <v>225246951.3125</v>
      </c>
      <c r="U51" s="40"/>
      <c r="V51" s="45"/>
      <c r="W51" s="45"/>
      <c r="X51" s="45"/>
    </row>
    <row r="52" spans="1:24" ht="26.25" customHeight="1" x14ac:dyDescent="0.2">
      <c r="A52" s="88"/>
      <c r="B52" s="28">
        <v>48</v>
      </c>
      <c r="C52" s="24" t="s">
        <v>23</v>
      </c>
      <c r="D52" s="18" t="s">
        <v>28</v>
      </c>
      <c r="E52" s="19" t="s">
        <v>29</v>
      </c>
      <c r="F52" s="46">
        <v>39596</v>
      </c>
      <c r="G52" s="46">
        <f t="shared" ref="G52:G57" si="6">+F52+H52</f>
        <v>39610</v>
      </c>
      <c r="H52" s="47">
        <v>14</v>
      </c>
      <c r="I52" s="47" t="s">
        <v>0</v>
      </c>
      <c r="J52" s="43" t="s">
        <v>2</v>
      </c>
      <c r="K52" s="44">
        <v>0</v>
      </c>
      <c r="L52" s="43" t="s">
        <v>2</v>
      </c>
      <c r="M52" s="7">
        <v>53000000000</v>
      </c>
      <c r="N52" s="7">
        <v>53314321800</v>
      </c>
      <c r="O52" s="44">
        <v>1</v>
      </c>
      <c r="P52" s="44">
        <v>0.1525</v>
      </c>
      <c r="Q52" s="44">
        <v>0.1525</v>
      </c>
      <c r="R52" s="7">
        <f>R51-58285000000+M52</f>
        <v>178927503672.30002</v>
      </c>
      <c r="S52" s="7">
        <f>S51-58630665021+N52</f>
        <v>180496078341</v>
      </c>
      <c r="T52" s="6">
        <f t="shared" si="1"/>
        <v>8082500000</v>
      </c>
      <c r="U52" s="40"/>
      <c r="V52" s="45"/>
      <c r="W52" s="45"/>
      <c r="X52" s="45"/>
    </row>
    <row r="53" spans="1:24" ht="26.25" customHeight="1" x14ac:dyDescent="0.2">
      <c r="A53" s="88"/>
      <c r="B53" s="28">
        <v>49</v>
      </c>
      <c r="C53" s="24" t="s">
        <v>23</v>
      </c>
      <c r="D53" s="18" t="s">
        <v>28</v>
      </c>
      <c r="E53" s="19" t="s">
        <v>29</v>
      </c>
      <c r="F53" s="46">
        <v>39598</v>
      </c>
      <c r="G53" s="46">
        <f t="shared" si="6"/>
        <v>39612</v>
      </c>
      <c r="H53" s="47">
        <v>14</v>
      </c>
      <c r="I53" s="47" t="s">
        <v>0</v>
      </c>
      <c r="J53" s="43" t="s">
        <v>2</v>
      </c>
      <c r="K53" s="44">
        <v>0</v>
      </c>
      <c r="L53" s="43" t="s">
        <v>2</v>
      </c>
      <c r="M53" s="7">
        <v>83050000000</v>
      </c>
      <c r="N53" s="7">
        <v>83558681250</v>
      </c>
      <c r="O53" s="44">
        <v>1</v>
      </c>
      <c r="P53" s="44">
        <v>0.1575</v>
      </c>
      <c r="Q53" s="44">
        <v>0.1575</v>
      </c>
      <c r="R53" s="7">
        <f>R52-39485000000+M53</f>
        <v>222492503672.30002</v>
      </c>
      <c r="S53" s="7">
        <f>S52-39719169741+N53</f>
        <v>224335589850</v>
      </c>
      <c r="T53" s="6">
        <f t="shared" si="1"/>
        <v>13080375000</v>
      </c>
      <c r="U53" s="40"/>
      <c r="V53" s="45"/>
      <c r="W53" s="45"/>
      <c r="X53" s="45"/>
    </row>
    <row r="54" spans="1:24" ht="26.25" customHeight="1" x14ac:dyDescent="0.2">
      <c r="A54" s="88"/>
      <c r="B54" s="29">
        <v>50</v>
      </c>
      <c r="C54" s="24" t="s">
        <v>23</v>
      </c>
      <c r="D54" s="18" t="s">
        <v>28</v>
      </c>
      <c r="E54" s="19" t="s">
        <v>29</v>
      </c>
      <c r="F54" s="48">
        <v>39603</v>
      </c>
      <c r="G54" s="48">
        <f t="shared" si="6"/>
        <v>39617</v>
      </c>
      <c r="H54" s="49">
        <v>14</v>
      </c>
      <c r="I54" s="49" t="s">
        <v>0</v>
      </c>
      <c r="J54" s="50" t="s">
        <v>2</v>
      </c>
      <c r="K54" s="51">
        <v>0</v>
      </c>
      <c r="L54" s="50" t="s">
        <v>2</v>
      </c>
      <c r="M54" s="11">
        <v>43000000000</v>
      </c>
      <c r="N54" s="11">
        <v>43263375000</v>
      </c>
      <c r="O54" s="51">
        <v>1</v>
      </c>
      <c r="P54" s="51">
        <v>0.1575</v>
      </c>
      <c r="Q54" s="51">
        <v>0.1575</v>
      </c>
      <c r="R54" s="11">
        <f>R53-34050000000+M54</f>
        <v>231442503672.30002</v>
      </c>
      <c r="S54" s="11">
        <f>S53-34251936930+N54</f>
        <v>233347027920</v>
      </c>
      <c r="T54" s="6">
        <f t="shared" si="1"/>
        <v>6772500000</v>
      </c>
      <c r="U54" s="40"/>
      <c r="V54" s="45"/>
      <c r="W54" s="45"/>
      <c r="X54" s="45"/>
    </row>
    <row r="55" spans="1:24" ht="26.25" customHeight="1" x14ac:dyDescent="0.2">
      <c r="A55" s="88"/>
      <c r="B55" s="28">
        <v>51</v>
      </c>
      <c r="C55" s="24" t="s">
        <v>23</v>
      </c>
      <c r="D55" s="18" t="s">
        <v>28</v>
      </c>
      <c r="E55" s="19" t="s">
        <v>29</v>
      </c>
      <c r="F55" s="46">
        <v>39605</v>
      </c>
      <c r="G55" s="46">
        <f t="shared" si="6"/>
        <v>39619</v>
      </c>
      <c r="H55" s="47">
        <v>14</v>
      </c>
      <c r="I55" s="47" t="s">
        <v>0</v>
      </c>
      <c r="J55" s="43" t="s">
        <v>2</v>
      </c>
      <c r="K55" s="44">
        <v>0</v>
      </c>
      <c r="L55" s="43" t="s">
        <v>2</v>
      </c>
      <c r="M55" s="7">
        <v>41955000000</v>
      </c>
      <c r="N55" s="7">
        <v>42211974375</v>
      </c>
      <c r="O55" s="44">
        <v>1</v>
      </c>
      <c r="P55" s="44">
        <v>0.1575</v>
      </c>
      <c r="Q55" s="44">
        <v>0.1575</v>
      </c>
      <c r="R55" s="7">
        <f>R54-43950000000+M55</f>
        <v>229447503672.30002</v>
      </c>
      <c r="S55" s="7">
        <f>S54-44210649870+N55</f>
        <v>231348352425</v>
      </c>
      <c r="T55" s="6">
        <f t="shared" si="1"/>
        <v>6607912500</v>
      </c>
      <c r="U55" s="40"/>
      <c r="V55" s="45"/>
      <c r="W55" s="45"/>
      <c r="X55" s="45"/>
    </row>
    <row r="56" spans="1:24" ht="26.25" customHeight="1" x14ac:dyDescent="0.2">
      <c r="A56" s="88"/>
      <c r="B56" s="28">
        <v>52</v>
      </c>
      <c r="C56" s="24" t="s">
        <v>23</v>
      </c>
      <c r="D56" s="18" t="s">
        <v>28</v>
      </c>
      <c r="E56" s="19" t="s">
        <v>29</v>
      </c>
      <c r="F56" s="46">
        <v>39610</v>
      </c>
      <c r="G56" s="46">
        <f t="shared" si="6"/>
        <v>39624</v>
      </c>
      <c r="H56" s="47">
        <v>14</v>
      </c>
      <c r="I56" s="47" t="s">
        <v>0</v>
      </c>
      <c r="J56" s="43" t="s">
        <v>2</v>
      </c>
      <c r="K56" s="44">
        <v>0</v>
      </c>
      <c r="L56" s="43" t="s">
        <v>2</v>
      </c>
      <c r="M56" s="7">
        <v>51505000000</v>
      </c>
      <c r="N56" s="7">
        <v>51820468125</v>
      </c>
      <c r="O56" s="44">
        <v>1</v>
      </c>
      <c r="P56" s="44">
        <v>0.1575</v>
      </c>
      <c r="Q56" s="44">
        <v>0.1575</v>
      </c>
      <c r="R56" s="7">
        <f>R55-M52+M56</f>
        <v>227952503672.30002</v>
      </c>
      <c r="S56" s="7">
        <f>S55-N52+N56</f>
        <v>229854498750</v>
      </c>
      <c r="T56" s="6">
        <f t="shared" ref="T56:T121" si="7">Q56*M56</f>
        <v>8112037500</v>
      </c>
      <c r="U56" s="40"/>
      <c r="V56" s="45"/>
      <c r="W56" s="45"/>
      <c r="X56" s="45"/>
    </row>
    <row r="57" spans="1:24" ht="26.25" customHeight="1" x14ac:dyDescent="0.2">
      <c r="A57" s="88"/>
      <c r="B57" s="28">
        <v>53</v>
      </c>
      <c r="C57" s="24" t="s">
        <v>23</v>
      </c>
      <c r="D57" s="18" t="s">
        <v>28</v>
      </c>
      <c r="E57" s="19" t="s">
        <v>29</v>
      </c>
      <c r="F57" s="46">
        <v>39612</v>
      </c>
      <c r="G57" s="46">
        <f t="shared" si="6"/>
        <v>39626</v>
      </c>
      <c r="H57" s="47">
        <v>14</v>
      </c>
      <c r="I57" s="47" t="s">
        <v>0</v>
      </c>
      <c r="J57" s="43" t="s">
        <v>2</v>
      </c>
      <c r="K57" s="44">
        <v>0</v>
      </c>
      <c r="L57" s="43" t="s">
        <v>2</v>
      </c>
      <c r="M57" s="7">
        <v>68540000000</v>
      </c>
      <c r="N57" s="7">
        <v>68959807500</v>
      </c>
      <c r="O57" s="44">
        <v>1</v>
      </c>
      <c r="P57" s="44">
        <v>0.1575</v>
      </c>
      <c r="Q57" s="44">
        <v>0.1575</v>
      </c>
      <c r="R57" s="7">
        <f t="shared" ref="R57:S59" si="8">+R56-M53+M57</f>
        <v>213442503672.30002</v>
      </c>
      <c r="S57" s="7">
        <f t="shared" si="8"/>
        <v>215255625000</v>
      </c>
      <c r="T57" s="6">
        <f t="shared" si="7"/>
        <v>10795050000</v>
      </c>
      <c r="U57" s="40"/>
      <c r="V57" s="45"/>
      <c r="W57" s="45"/>
      <c r="X57" s="45"/>
    </row>
    <row r="58" spans="1:24" ht="26.25" customHeight="1" x14ac:dyDescent="0.2">
      <c r="A58" s="89"/>
      <c r="B58" s="30">
        <v>54</v>
      </c>
      <c r="C58" s="24" t="s">
        <v>23</v>
      </c>
      <c r="D58" s="18" t="s">
        <v>28</v>
      </c>
      <c r="E58" s="19" t="s">
        <v>29</v>
      </c>
      <c r="F58" s="52">
        <v>39617</v>
      </c>
      <c r="G58" s="52">
        <f t="shared" ref="G58:G64" si="9">+F58+H58</f>
        <v>39631</v>
      </c>
      <c r="H58" s="53">
        <v>14</v>
      </c>
      <c r="I58" s="53" t="s">
        <v>0</v>
      </c>
      <c r="J58" s="54" t="s">
        <v>2</v>
      </c>
      <c r="K58" s="55">
        <v>0</v>
      </c>
      <c r="L58" s="54" t="s">
        <v>2</v>
      </c>
      <c r="M58" s="9">
        <v>41350000000</v>
      </c>
      <c r="N58" s="9">
        <v>41603268750</v>
      </c>
      <c r="O58" s="55">
        <v>1</v>
      </c>
      <c r="P58" s="55">
        <v>0.1575</v>
      </c>
      <c r="Q58" s="55">
        <v>0.1575</v>
      </c>
      <c r="R58" s="9">
        <f t="shared" si="8"/>
        <v>211792503672.30002</v>
      </c>
      <c r="S58" s="9">
        <f t="shared" si="8"/>
        <v>213595518750</v>
      </c>
      <c r="T58" s="6">
        <f t="shared" si="7"/>
        <v>6512625000</v>
      </c>
      <c r="U58" s="40"/>
      <c r="V58" s="45"/>
      <c r="W58" s="45"/>
      <c r="X58" s="45"/>
    </row>
    <row r="59" spans="1:24" ht="26.25" customHeight="1" x14ac:dyDescent="0.2">
      <c r="A59" s="87">
        <v>2008</v>
      </c>
      <c r="B59" s="31">
        <v>55</v>
      </c>
      <c r="C59" s="24" t="s">
        <v>23</v>
      </c>
      <c r="D59" s="18" t="s">
        <v>28</v>
      </c>
      <c r="E59" s="19" t="s">
        <v>29</v>
      </c>
      <c r="F59" s="56">
        <v>39619</v>
      </c>
      <c r="G59" s="56">
        <f t="shared" si="9"/>
        <v>39633</v>
      </c>
      <c r="H59" s="57">
        <v>14</v>
      </c>
      <c r="I59" s="57" t="s">
        <v>0</v>
      </c>
      <c r="J59" s="38" t="s">
        <v>2</v>
      </c>
      <c r="K59" s="39">
        <v>0</v>
      </c>
      <c r="L59" s="38" t="s">
        <v>2</v>
      </c>
      <c r="M59" s="5">
        <v>42000000000</v>
      </c>
      <c r="N59" s="5">
        <v>42257250000</v>
      </c>
      <c r="O59" s="39">
        <v>1</v>
      </c>
      <c r="P59" s="39">
        <v>0.1575</v>
      </c>
      <c r="Q59" s="39">
        <v>0.1575</v>
      </c>
      <c r="R59" s="5">
        <f t="shared" si="8"/>
        <v>211837503672.30002</v>
      </c>
      <c r="S59" s="5">
        <f t="shared" si="8"/>
        <v>213640794375</v>
      </c>
      <c r="T59" s="6">
        <f t="shared" si="7"/>
        <v>6615000000</v>
      </c>
      <c r="U59" s="40"/>
      <c r="V59" s="45"/>
      <c r="W59" s="45"/>
      <c r="X59" s="45"/>
    </row>
    <row r="60" spans="1:24" ht="26.25" customHeight="1" x14ac:dyDescent="0.2">
      <c r="A60" s="88"/>
      <c r="B60" s="32">
        <v>56</v>
      </c>
      <c r="C60" s="24" t="s">
        <v>24</v>
      </c>
      <c r="D60" s="18" t="s">
        <v>30</v>
      </c>
      <c r="E60" s="19" t="s">
        <v>25</v>
      </c>
      <c r="F60" s="58">
        <v>39622</v>
      </c>
      <c r="G60" s="58">
        <f t="shared" si="9"/>
        <v>39804</v>
      </c>
      <c r="H60" s="59">
        <v>182</v>
      </c>
      <c r="I60" s="59" t="s">
        <v>0</v>
      </c>
      <c r="J60" s="50">
        <v>2500000000</v>
      </c>
      <c r="K60" s="51">
        <v>0</v>
      </c>
      <c r="L60" s="50">
        <v>2500000000</v>
      </c>
      <c r="M60" s="11">
        <v>2310457436.8000002</v>
      </c>
      <c r="N60" s="11">
        <v>2499000000</v>
      </c>
      <c r="O60" s="51">
        <v>0.99960000000000004</v>
      </c>
      <c r="P60" s="51">
        <v>0.16289999999999999</v>
      </c>
      <c r="Q60" s="51">
        <v>0.16139999999999999</v>
      </c>
      <c r="R60" s="11">
        <f>+R59-1430212039.5+M60</f>
        <v>212717749069.60001</v>
      </c>
      <c r="S60" s="11">
        <f>+S59-1500000000+N60</f>
        <v>214639794375</v>
      </c>
      <c r="T60" s="6">
        <f t="shared" si="7"/>
        <v>372907830.29952002</v>
      </c>
      <c r="U60" s="40"/>
      <c r="V60" s="45"/>
      <c r="W60" s="45"/>
      <c r="X60" s="45"/>
    </row>
    <row r="61" spans="1:24" ht="26.25" customHeight="1" x14ac:dyDescent="0.2">
      <c r="A61" s="88"/>
      <c r="B61" s="33">
        <v>57</v>
      </c>
      <c r="C61" s="24" t="s">
        <v>23</v>
      </c>
      <c r="D61" s="18" t="s">
        <v>28</v>
      </c>
      <c r="E61" s="19" t="s">
        <v>29</v>
      </c>
      <c r="F61" s="60">
        <v>39624</v>
      </c>
      <c r="G61" s="60">
        <f t="shared" si="9"/>
        <v>39638</v>
      </c>
      <c r="H61" s="61">
        <v>14</v>
      </c>
      <c r="I61" s="61" t="s">
        <v>0</v>
      </c>
      <c r="J61" s="62" t="s">
        <v>2</v>
      </c>
      <c r="K61" s="63">
        <v>0</v>
      </c>
      <c r="L61" s="62" t="s">
        <v>2</v>
      </c>
      <c r="M61" s="12">
        <v>51910000000</v>
      </c>
      <c r="N61" s="12">
        <v>52227948750</v>
      </c>
      <c r="O61" s="63">
        <v>1</v>
      </c>
      <c r="P61" s="63">
        <v>0.1575</v>
      </c>
      <c r="Q61" s="63">
        <v>0.1575</v>
      </c>
      <c r="R61" s="12">
        <f>+R60-M56+M61</f>
        <v>213122749069.60001</v>
      </c>
      <c r="S61" s="12">
        <f>+S60-N56+N61</f>
        <v>215047275000</v>
      </c>
      <c r="T61" s="6">
        <f t="shared" si="7"/>
        <v>8175825000</v>
      </c>
      <c r="U61" s="40"/>
      <c r="V61" s="45"/>
      <c r="W61" s="45"/>
      <c r="X61" s="45"/>
    </row>
    <row r="62" spans="1:24" ht="26.25" customHeight="1" x14ac:dyDescent="0.2">
      <c r="A62" s="88"/>
      <c r="B62" s="34">
        <v>58</v>
      </c>
      <c r="C62" s="24" t="s">
        <v>23</v>
      </c>
      <c r="D62" s="18" t="s">
        <v>28</v>
      </c>
      <c r="E62" s="19" t="s">
        <v>29</v>
      </c>
      <c r="F62" s="46">
        <v>39626</v>
      </c>
      <c r="G62" s="46">
        <f t="shared" si="9"/>
        <v>39640</v>
      </c>
      <c r="H62" s="47">
        <v>14</v>
      </c>
      <c r="I62" s="47" t="s">
        <v>0</v>
      </c>
      <c r="J62" s="43" t="s">
        <v>2</v>
      </c>
      <c r="K62" s="44">
        <v>0</v>
      </c>
      <c r="L62" s="43" t="s">
        <v>2</v>
      </c>
      <c r="M62" s="7">
        <v>63765000000</v>
      </c>
      <c r="N62" s="7">
        <v>64155560625</v>
      </c>
      <c r="O62" s="44">
        <v>1</v>
      </c>
      <c r="P62" s="44">
        <v>0.1575</v>
      </c>
      <c r="Q62" s="44">
        <v>0.1575</v>
      </c>
      <c r="R62" s="7">
        <f>+R61-M57+M62</f>
        <v>208347749069.60001</v>
      </c>
      <c r="S62" s="7">
        <f>+S61-N57+N62</f>
        <v>210243028125</v>
      </c>
      <c r="T62" s="6">
        <f t="shared" si="7"/>
        <v>10042987500</v>
      </c>
      <c r="U62" s="40"/>
      <c r="V62" s="45"/>
      <c r="W62" s="45"/>
      <c r="X62" s="45"/>
    </row>
    <row r="63" spans="1:24" ht="26.25" customHeight="1" x14ac:dyDescent="0.2">
      <c r="A63" s="88"/>
      <c r="B63" s="34">
        <v>59</v>
      </c>
      <c r="C63" s="24" t="s">
        <v>23</v>
      </c>
      <c r="D63" s="18" t="s">
        <v>28</v>
      </c>
      <c r="E63" s="19" t="s">
        <v>29</v>
      </c>
      <c r="F63" s="46">
        <v>39631</v>
      </c>
      <c r="G63" s="46">
        <f t="shared" si="9"/>
        <v>39645</v>
      </c>
      <c r="H63" s="47">
        <v>14</v>
      </c>
      <c r="I63" s="47" t="s">
        <v>0</v>
      </c>
      <c r="J63" s="43" t="s">
        <v>2</v>
      </c>
      <c r="K63" s="44">
        <v>0</v>
      </c>
      <c r="L63" s="43" t="s">
        <v>2</v>
      </c>
      <c r="M63" s="7">
        <v>47250000000</v>
      </c>
      <c r="N63" s="7">
        <v>47539406250</v>
      </c>
      <c r="O63" s="44">
        <v>1</v>
      </c>
      <c r="P63" s="44">
        <v>0.1575</v>
      </c>
      <c r="Q63" s="44">
        <v>0.1575</v>
      </c>
      <c r="R63" s="7">
        <f>R62-41350000000+M63</f>
        <v>214247749069.60001</v>
      </c>
      <c r="S63" s="7">
        <f>S62-41603268750+N63</f>
        <v>216179165625</v>
      </c>
      <c r="T63" s="6">
        <f>Q63*M63</f>
        <v>7441875000</v>
      </c>
      <c r="U63" s="40"/>
      <c r="V63" s="45"/>
      <c r="W63" s="45"/>
      <c r="X63" s="45"/>
    </row>
    <row r="64" spans="1:24" ht="26.25" customHeight="1" x14ac:dyDescent="0.2">
      <c r="A64" s="88"/>
      <c r="B64" s="34">
        <v>60</v>
      </c>
      <c r="C64" s="24" t="s">
        <v>23</v>
      </c>
      <c r="D64" s="18" t="s">
        <v>28</v>
      </c>
      <c r="E64" s="19" t="s">
        <v>29</v>
      </c>
      <c r="F64" s="46">
        <v>39633</v>
      </c>
      <c r="G64" s="46">
        <f t="shared" si="9"/>
        <v>39647</v>
      </c>
      <c r="H64" s="47">
        <v>14</v>
      </c>
      <c r="I64" s="47" t="s">
        <v>0</v>
      </c>
      <c r="J64" s="43" t="s">
        <v>2</v>
      </c>
      <c r="K64" s="44">
        <v>0</v>
      </c>
      <c r="L64" s="43" t="s">
        <v>2</v>
      </c>
      <c r="M64" s="7">
        <v>52550000000</v>
      </c>
      <c r="N64" s="7">
        <v>52871868750</v>
      </c>
      <c r="O64" s="44">
        <v>1</v>
      </c>
      <c r="P64" s="44">
        <v>0.1575</v>
      </c>
      <c r="Q64" s="44">
        <v>0.1575</v>
      </c>
      <c r="R64" s="7">
        <f>+R63+M64-M59</f>
        <v>224797749069.60001</v>
      </c>
      <c r="S64" s="7">
        <f>+S63+N64-N59</f>
        <v>226793784375</v>
      </c>
      <c r="T64" s="6">
        <f t="shared" si="7"/>
        <v>8276625000</v>
      </c>
      <c r="U64" s="40"/>
      <c r="V64" s="45"/>
      <c r="W64" s="45"/>
      <c r="X64" s="45"/>
    </row>
    <row r="65" spans="1:24" ht="26.25" customHeight="1" x14ac:dyDescent="0.2">
      <c r="A65" s="88"/>
      <c r="B65" s="34">
        <v>61</v>
      </c>
      <c r="C65" s="24" t="s">
        <v>23</v>
      </c>
      <c r="D65" s="18" t="s">
        <v>28</v>
      </c>
      <c r="E65" s="19" t="s">
        <v>29</v>
      </c>
      <c r="F65" s="46">
        <v>39638</v>
      </c>
      <c r="G65" s="46">
        <f t="shared" ref="G65:G71" si="10">+F65+H65</f>
        <v>39652</v>
      </c>
      <c r="H65" s="47">
        <v>14</v>
      </c>
      <c r="I65" s="47" t="s">
        <v>0</v>
      </c>
      <c r="J65" s="43" t="s">
        <v>2</v>
      </c>
      <c r="K65" s="44">
        <v>0</v>
      </c>
      <c r="L65" s="43" t="s">
        <v>2</v>
      </c>
      <c r="M65" s="7">
        <v>54015000000</v>
      </c>
      <c r="N65" s="7">
        <v>54345841875</v>
      </c>
      <c r="O65" s="44">
        <v>1</v>
      </c>
      <c r="P65" s="44">
        <v>0.1575</v>
      </c>
      <c r="Q65" s="44">
        <v>0.1575</v>
      </c>
      <c r="R65" s="7">
        <f>R64-51910000000+M65</f>
        <v>226902749069.60001</v>
      </c>
      <c r="S65" s="7">
        <f>S64-52227948750+N65</f>
        <v>228911677500</v>
      </c>
      <c r="T65" s="6">
        <f t="shared" si="7"/>
        <v>8507362500</v>
      </c>
      <c r="U65" s="40"/>
      <c r="V65" s="45"/>
      <c r="W65" s="45"/>
      <c r="X65" s="45"/>
    </row>
    <row r="66" spans="1:24" ht="26.25" customHeight="1" x14ac:dyDescent="0.2">
      <c r="A66" s="88"/>
      <c r="B66" s="34">
        <v>62</v>
      </c>
      <c r="C66" s="24" t="s">
        <v>23</v>
      </c>
      <c r="D66" s="18" t="s">
        <v>28</v>
      </c>
      <c r="E66" s="19" t="s">
        <v>29</v>
      </c>
      <c r="F66" s="46">
        <v>39640</v>
      </c>
      <c r="G66" s="46">
        <f t="shared" si="10"/>
        <v>39654</v>
      </c>
      <c r="H66" s="47">
        <v>14</v>
      </c>
      <c r="I66" s="47" t="s">
        <v>0</v>
      </c>
      <c r="J66" s="43" t="s">
        <v>2</v>
      </c>
      <c r="K66" s="44">
        <v>0</v>
      </c>
      <c r="L66" s="43" t="s">
        <v>2</v>
      </c>
      <c r="M66" s="7">
        <v>55020000000</v>
      </c>
      <c r="N66" s="7">
        <v>55356997500</v>
      </c>
      <c r="O66" s="44">
        <v>1</v>
      </c>
      <c r="P66" s="44">
        <v>0.1575</v>
      </c>
      <c r="Q66" s="14">
        <v>0.1575</v>
      </c>
      <c r="R66" s="7">
        <f>+R65+M66-M62</f>
        <v>218157749069.59998</v>
      </c>
      <c r="S66" s="7">
        <f>+S65+N66-N62</f>
        <v>220113114375</v>
      </c>
      <c r="T66" s="6">
        <f t="shared" si="7"/>
        <v>8665650000</v>
      </c>
      <c r="U66" s="40"/>
      <c r="V66" s="45"/>
      <c r="W66" s="45"/>
      <c r="X66" s="45"/>
    </row>
    <row r="67" spans="1:24" ht="26.25" customHeight="1" x14ac:dyDescent="0.2">
      <c r="A67" s="88"/>
      <c r="B67" s="34">
        <v>63</v>
      </c>
      <c r="C67" s="24" t="s">
        <v>23</v>
      </c>
      <c r="D67" s="18" t="s">
        <v>28</v>
      </c>
      <c r="E67" s="19" t="s">
        <v>29</v>
      </c>
      <c r="F67" s="46">
        <v>39645</v>
      </c>
      <c r="G67" s="46">
        <f t="shared" si="10"/>
        <v>39659</v>
      </c>
      <c r="H67" s="47">
        <v>14</v>
      </c>
      <c r="I67" s="47" t="s">
        <v>0</v>
      </c>
      <c r="J67" s="43" t="s">
        <v>2</v>
      </c>
      <c r="K67" s="44">
        <v>0</v>
      </c>
      <c r="L67" s="43" t="s">
        <v>2</v>
      </c>
      <c r="M67" s="7">
        <v>35190000000</v>
      </c>
      <c r="N67" s="7">
        <v>35405538750</v>
      </c>
      <c r="O67" s="44">
        <v>1</v>
      </c>
      <c r="P67" s="44">
        <v>0.1575</v>
      </c>
      <c r="Q67" s="14">
        <v>0.1575</v>
      </c>
      <c r="R67" s="7">
        <f>R66-47250000000+M67</f>
        <v>206097749069.59998</v>
      </c>
      <c r="S67" s="7">
        <f>S66-47539406250+35405538750</f>
        <v>207979246875</v>
      </c>
      <c r="T67" s="6">
        <f t="shared" si="7"/>
        <v>5542425000</v>
      </c>
      <c r="U67" s="40"/>
      <c r="V67" s="45"/>
      <c r="W67" s="45"/>
      <c r="X67" s="45"/>
    </row>
    <row r="68" spans="1:24" ht="26.25" customHeight="1" x14ac:dyDescent="0.2">
      <c r="A68" s="88"/>
      <c r="B68" s="34">
        <v>64</v>
      </c>
      <c r="C68" s="24" t="s">
        <v>23</v>
      </c>
      <c r="D68" s="18" t="s">
        <v>28</v>
      </c>
      <c r="E68" s="19" t="s">
        <v>29</v>
      </c>
      <c r="F68" s="46">
        <v>39647</v>
      </c>
      <c r="G68" s="46">
        <f t="shared" si="10"/>
        <v>39661</v>
      </c>
      <c r="H68" s="47">
        <v>14</v>
      </c>
      <c r="I68" s="47" t="s">
        <v>0</v>
      </c>
      <c r="J68" s="43" t="s">
        <v>2</v>
      </c>
      <c r="K68" s="44">
        <v>0</v>
      </c>
      <c r="L68" s="43" t="s">
        <v>2</v>
      </c>
      <c r="M68" s="7">
        <v>49995000000</v>
      </c>
      <c r="N68" s="7">
        <v>50301219375</v>
      </c>
      <c r="O68" s="44">
        <v>1</v>
      </c>
      <c r="P68" s="44">
        <v>0.1575</v>
      </c>
      <c r="Q68" s="14">
        <v>0.1575</v>
      </c>
      <c r="R68" s="7">
        <f t="shared" ref="R68:S70" si="11">+R67-M64+M68</f>
        <v>203542749069.59998</v>
      </c>
      <c r="S68" s="7">
        <f t="shared" si="11"/>
        <v>205408597500</v>
      </c>
      <c r="T68" s="6">
        <f>Q68*M68</f>
        <v>7874212500</v>
      </c>
      <c r="U68" s="40"/>
      <c r="V68" s="45"/>
      <c r="W68" s="45"/>
      <c r="X68" s="45"/>
    </row>
    <row r="69" spans="1:24" ht="26.25" customHeight="1" x14ac:dyDescent="0.2">
      <c r="A69" s="88"/>
      <c r="B69" s="34">
        <v>65</v>
      </c>
      <c r="C69" s="24" t="s">
        <v>23</v>
      </c>
      <c r="D69" s="18" t="s">
        <v>28</v>
      </c>
      <c r="E69" s="19" t="s">
        <v>29</v>
      </c>
      <c r="F69" s="46">
        <v>39652</v>
      </c>
      <c r="G69" s="46">
        <f t="shared" si="10"/>
        <v>39666</v>
      </c>
      <c r="H69" s="47">
        <v>14</v>
      </c>
      <c r="I69" s="47" t="s">
        <v>0</v>
      </c>
      <c r="J69" s="43" t="s">
        <v>2</v>
      </c>
      <c r="K69" s="44">
        <v>0</v>
      </c>
      <c r="L69" s="43" t="s">
        <v>2</v>
      </c>
      <c r="M69" s="7">
        <v>58320000000</v>
      </c>
      <c r="N69" s="7">
        <v>58677210000</v>
      </c>
      <c r="O69" s="44">
        <v>1</v>
      </c>
      <c r="P69" s="44">
        <v>0.1575</v>
      </c>
      <c r="Q69" s="14">
        <v>0.1575</v>
      </c>
      <c r="R69" s="7">
        <f t="shared" si="11"/>
        <v>207847749069.59998</v>
      </c>
      <c r="S69" s="7">
        <f t="shared" si="11"/>
        <v>209739965625</v>
      </c>
      <c r="T69" s="6">
        <f t="shared" si="7"/>
        <v>9185400000</v>
      </c>
      <c r="U69" s="40"/>
      <c r="V69" s="45"/>
      <c r="W69" s="45"/>
      <c r="X69" s="45"/>
    </row>
    <row r="70" spans="1:24" ht="26.25" customHeight="1" x14ac:dyDescent="0.2">
      <c r="A70" s="88"/>
      <c r="B70" s="34">
        <v>66</v>
      </c>
      <c r="C70" s="24" t="s">
        <v>23</v>
      </c>
      <c r="D70" s="18" t="s">
        <v>28</v>
      </c>
      <c r="E70" s="19" t="s">
        <v>29</v>
      </c>
      <c r="F70" s="46">
        <v>39654</v>
      </c>
      <c r="G70" s="46">
        <f t="shared" si="10"/>
        <v>39668</v>
      </c>
      <c r="H70" s="47">
        <v>14</v>
      </c>
      <c r="I70" s="47" t="s">
        <v>0</v>
      </c>
      <c r="J70" s="43" t="s">
        <v>2</v>
      </c>
      <c r="K70" s="44">
        <v>0</v>
      </c>
      <c r="L70" s="43" t="s">
        <v>2</v>
      </c>
      <c r="M70" s="7">
        <v>61775000000</v>
      </c>
      <c r="N70" s="7">
        <v>62153371875</v>
      </c>
      <c r="O70" s="44">
        <v>1</v>
      </c>
      <c r="P70" s="44">
        <v>0.1575</v>
      </c>
      <c r="Q70" s="14">
        <v>0.1575</v>
      </c>
      <c r="R70" s="7">
        <f t="shared" si="11"/>
        <v>214602749069.59998</v>
      </c>
      <c r="S70" s="7">
        <f t="shared" si="11"/>
        <v>216536340000</v>
      </c>
      <c r="T70" s="6">
        <f t="shared" si="7"/>
        <v>9729562500</v>
      </c>
      <c r="U70" s="40"/>
      <c r="V70" s="45"/>
      <c r="W70" s="45"/>
      <c r="X70" s="45"/>
    </row>
    <row r="71" spans="1:24" ht="26.25" customHeight="1" x14ac:dyDescent="0.2">
      <c r="A71" s="88"/>
      <c r="B71" s="34">
        <v>67</v>
      </c>
      <c r="C71" s="24" t="s">
        <v>24</v>
      </c>
      <c r="D71" s="18" t="s">
        <v>30</v>
      </c>
      <c r="E71" s="19" t="s">
        <v>25</v>
      </c>
      <c r="F71" s="41">
        <v>39657</v>
      </c>
      <c r="G71" s="41">
        <f t="shared" si="10"/>
        <v>39839</v>
      </c>
      <c r="H71" s="42">
        <v>182</v>
      </c>
      <c r="I71" s="42" t="s">
        <v>0</v>
      </c>
      <c r="J71" s="43">
        <v>2500000000</v>
      </c>
      <c r="K71" s="44">
        <v>0</v>
      </c>
      <c r="L71" s="43" t="s">
        <v>2</v>
      </c>
      <c r="M71" s="7">
        <v>2312546730.5999999</v>
      </c>
      <c r="N71" s="7">
        <v>2500000000</v>
      </c>
      <c r="O71" s="44">
        <v>1</v>
      </c>
      <c r="P71" s="44">
        <v>0.16139999999999999</v>
      </c>
      <c r="Q71" s="14">
        <v>0.1603</v>
      </c>
      <c r="R71" s="7">
        <f>+R70-1424509429+M71</f>
        <v>215490786371.19998</v>
      </c>
      <c r="S71" s="7">
        <f>+S70-1500000000+N71</f>
        <v>217536340000</v>
      </c>
      <c r="T71" s="6">
        <f t="shared" si="7"/>
        <v>370701240.91517997</v>
      </c>
      <c r="U71" s="40"/>
      <c r="V71" s="45"/>
      <c r="W71" s="45"/>
      <c r="X71" s="45"/>
    </row>
    <row r="72" spans="1:24" ht="26.25" customHeight="1" x14ac:dyDescent="0.2">
      <c r="A72" s="88"/>
      <c r="B72" s="34">
        <v>68</v>
      </c>
      <c r="C72" s="24" t="s">
        <v>23</v>
      </c>
      <c r="D72" s="18" t="s">
        <v>28</v>
      </c>
      <c r="E72" s="19" t="s">
        <v>29</v>
      </c>
      <c r="F72" s="46">
        <v>39659</v>
      </c>
      <c r="G72" s="46">
        <f t="shared" ref="G72:G77" si="12">+F72+H72</f>
        <v>39673</v>
      </c>
      <c r="H72" s="47">
        <v>14</v>
      </c>
      <c r="I72" s="47" t="s">
        <v>0</v>
      </c>
      <c r="J72" s="43" t="s">
        <v>2</v>
      </c>
      <c r="K72" s="44">
        <v>0</v>
      </c>
      <c r="L72" s="43" t="s">
        <v>2</v>
      </c>
      <c r="M72" s="7">
        <v>50760000000</v>
      </c>
      <c r="N72" s="7">
        <v>51070905000</v>
      </c>
      <c r="O72" s="44">
        <v>1</v>
      </c>
      <c r="P72" s="44">
        <v>0.1575</v>
      </c>
      <c r="Q72" s="14">
        <v>0.1575</v>
      </c>
      <c r="R72" s="7">
        <f>+R71-M67+M72</f>
        <v>231060786371.19998</v>
      </c>
      <c r="S72" s="7">
        <f>+S71-N67+N72</f>
        <v>233201706250</v>
      </c>
      <c r="T72" s="6">
        <f t="shared" si="7"/>
        <v>7994700000</v>
      </c>
      <c r="U72" s="40"/>
      <c r="V72" s="45"/>
      <c r="W72" s="45"/>
      <c r="X72" s="45"/>
    </row>
    <row r="73" spans="1:24" ht="26.25" customHeight="1" x14ac:dyDescent="0.2">
      <c r="A73" s="88"/>
      <c r="B73" s="32">
        <v>69</v>
      </c>
      <c r="C73" s="24" t="s">
        <v>23</v>
      </c>
      <c r="D73" s="18" t="s">
        <v>28</v>
      </c>
      <c r="E73" s="19" t="s">
        <v>29</v>
      </c>
      <c r="F73" s="48">
        <v>39661</v>
      </c>
      <c r="G73" s="48">
        <f t="shared" si="12"/>
        <v>39675</v>
      </c>
      <c r="H73" s="49">
        <v>14</v>
      </c>
      <c r="I73" s="49" t="s">
        <v>0</v>
      </c>
      <c r="J73" s="50" t="s">
        <v>2</v>
      </c>
      <c r="K73" s="51">
        <v>0</v>
      </c>
      <c r="L73" s="50" t="s">
        <v>2</v>
      </c>
      <c r="M73" s="11">
        <v>43690000000</v>
      </c>
      <c r="N73" s="11">
        <v>43957601250</v>
      </c>
      <c r="O73" s="51">
        <v>1</v>
      </c>
      <c r="P73" s="51">
        <v>0.1575</v>
      </c>
      <c r="Q73" s="15">
        <v>0.1575</v>
      </c>
      <c r="R73" s="11">
        <f>+R72+M73-M68</f>
        <v>224755786371.19998</v>
      </c>
      <c r="S73" s="11">
        <f>+S72+N73-N68</f>
        <v>226858088125</v>
      </c>
      <c r="T73" s="6">
        <f t="shared" si="7"/>
        <v>6881175000</v>
      </c>
      <c r="U73" s="40"/>
      <c r="V73" s="45"/>
      <c r="W73" s="45"/>
      <c r="X73" s="45"/>
    </row>
    <row r="74" spans="1:24" ht="26.25" customHeight="1" x14ac:dyDescent="0.2">
      <c r="A74" s="88"/>
      <c r="B74" s="34">
        <v>70</v>
      </c>
      <c r="C74" s="24" t="s">
        <v>23</v>
      </c>
      <c r="D74" s="18" t="s">
        <v>28</v>
      </c>
      <c r="E74" s="19" t="s">
        <v>29</v>
      </c>
      <c r="F74" s="46">
        <v>39666</v>
      </c>
      <c r="G74" s="46">
        <f t="shared" si="12"/>
        <v>39680</v>
      </c>
      <c r="H74" s="47">
        <v>14</v>
      </c>
      <c r="I74" s="47" t="s">
        <v>0</v>
      </c>
      <c r="J74" s="43" t="s">
        <v>2</v>
      </c>
      <c r="K74" s="44">
        <v>0</v>
      </c>
      <c r="L74" s="43" t="s">
        <v>2</v>
      </c>
      <c r="M74" s="7">
        <v>56710000000</v>
      </c>
      <c r="N74" s="7">
        <v>57057348750</v>
      </c>
      <c r="O74" s="44">
        <v>1</v>
      </c>
      <c r="P74" s="44">
        <v>0.1575</v>
      </c>
      <c r="Q74" s="14">
        <v>0.1575</v>
      </c>
      <c r="R74" s="7">
        <f>+R73-M69+M74</f>
        <v>223145786371.19998</v>
      </c>
      <c r="S74" s="7">
        <f>+S73-N69+N74</f>
        <v>225238226875</v>
      </c>
      <c r="T74" s="6">
        <f t="shared" si="7"/>
        <v>8931825000</v>
      </c>
      <c r="U74" s="40"/>
      <c r="V74" s="45"/>
      <c r="W74" s="45"/>
      <c r="X74" s="45"/>
    </row>
    <row r="75" spans="1:24" ht="26.25" customHeight="1" x14ac:dyDescent="0.2">
      <c r="A75" s="88"/>
      <c r="B75" s="34">
        <v>71</v>
      </c>
      <c r="C75" s="24" t="s">
        <v>23</v>
      </c>
      <c r="D75" s="18" t="s">
        <v>28</v>
      </c>
      <c r="E75" s="19" t="s">
        <v>29</v>
      </c>
      <c r="F75" s="46">
        <v>39668</v>
      </c>
      <c r="G75" s="46">
        <f t="shared" si="12"/>
        <v>39682</v>
      </c>
      <c r="H75" s="47">
        <v>14</v>
      </c>
      <c r="I75" s="47" t="s">
        <v>0</v>
      </c>
      <c r="J75" s="43" t="s">
        <v>2</v>
      </c>
      <c r="K75" s="44">
        <v>0</v>
      </c>
      <c r="L75" s="43" t="s">
        <v>2</v>
      </c>
      <c r="M75" s="7">
        <v>64590000000</v>
      </c>
      <c r="N75" s="7">
        <v>64985613750</v>
      </c>
      <c r="O75" s="44">
        <v>1</v>
      </c>
      <c r="P75" s="44">
        <v>0.1575</v>
      </c>
      <c r="Q75" s="14">
        <v>0.1575</v>
      </c>
      <c r="R75" s="7">
        <f>+R74-M70+M75</f>
        <v>225960786371.19998</v>
      </c>
      <c r="S75" s="7">
        <f>+S74-N70+N75</f>
        <v>228070468750</v>
      </c>
      <c r="T75" s="6">
        <f t="shared" si="7"/>
        <v>10172925000</v>
      </c>
      <c r="U75" s="40"/>
      <c r="V75" s="45"/>
      <c r="W75" s="45"/>
      <c r="X75" s="45"/>
    </row>
    <row r="76" spans="1:24" ht="26.25" customHeight="1" x14ac:dyDescent="0.2">
      <c r="A76" s="88"/>
      <c r="B76" s="34">
        <v>72</v>
      </c>
      <c r="C76" s="24" t="s">
        <v>23</v>
      </c>
      <c r="D76" s="18" t="s">
        <v>28</v>
      </c>
      <c r="E76" s="19" t="s">
        <v>29</v>
      </c>
      <c r="F76" s="46">
        <v>39673</v>
      </c>
      <c r="G76" s="46">
        <f t="shared" si="12"/>
        <v>39687</v>
      </c>
      <c r="H76" s="47">
        <v>14</v>
      </c>
      <c r="I76" s="47" t="s">
        <v>0</v>
      </c>
      <c r="J76" s="43" t="s">
        <v>2</v>
      </c>
      <c r="K76" s="44">
        <v>0</v>
      </c>
      <c r="L76" s="43" t="s">
        <v>2</v>
      </c>
      <c r="M76" s="7">
        <v>55300000000</v>
      </c>
      <c r="N76" s="7">
        <v>55638712500</v>
      </c>
      <c r="O76" s="44">
        <v>1</v>
      </c>
      <c r="P76" s="44">
        <v>0.1575</v>
      </c>
      <c r="Q76" s="14">
        <v>0.1575</v>
      </c>
      <c r="R76" s="7">
        <f>+R75-M72+M76</f>
        <v>230500786371.19998</v>
      </c>
      <c r="S76" s="7">
        <f>+S75-N72+N76</f>
        <v>232638276250</v>
      </c>
      <c r="T76" s="6">
        <f t="shared" si="7"/>
        <v>8709750000</v>
      </c>
      <c r="U76" s="40"/>
      <c r="V76" s="45"/>
      <c r="W76" s="45"/>
      <c r="X76" s="45"/>
    </row>
    <row r="77" spans="1:24" ht="26.25" customHeight="1" x14ac:dyDescent="0.2">
      <c r="A77" s="88"/>
      <c r="B77" s="34">
        <v>73</v>
      </c>
      <c r="C77" s="24" t="s">
        <v>23</v>
      </c>
      <c r="D77" s="18" t="s">
        <v>28</v>
      </c>
      <c r="E77" s="19" t="s">
        <v>29</v>
      </c>
      <c r="F77" s="46">
        <v>39675</v>
      </c>
      <c r="G77" s="46">
        <f t="shared" si="12"/>
        <v>39689</v>
      </c>
      <c r="H77" s="47">
        <v>14</v>
      </c>
      <c r="I77" s="47" t="s">
        <v>0</v>
      </c>
      <c r="J77" s="43" t="s">
        <v>2</v>
      </c>
      <c r="K77" s="44">
        <v>0</v>
      </c>
      <c r="L77" s="43" t="s">
        <v>2</v>
      </c>
      <c r="M77" s="7">
        <v>41395000000</v>
      </c>
      <c r="N77" s="7">
        <v>41648544375</v>
      </c>
      <c r="O77" s="44">
        <v>1</v>
      </c>
      <c r="P77" s="44">
        <v>0.1575</v>
      </c>
      <c r="Q77" s="14">
        <v>0.1575</v>
      </c>
      <c r="R77" s="7">
        <f>+R76+M77-M73</f>
        <v>228205786371.19998</v>
      </c>
      <c r="S77" s="7">
        <f>+S76+N77-N73</f>
        <v>230329219375</v>
      </c>
      <c r="T77" s="6">
        <f t="shared" si="7"/>
        <v>6519712500</v>
      </c>
      <c r="U77" s="40"/>
      <c r="V77" s="45"/>
      <c r="W77" s="45"/>
      <c r="X77" s="45"/>
    </row>
    <row r="78" spans="1:24" ht="26.25" customHeight="1" x14ac:dyDescent="0.2">
      <c r="A78" s="88"/>
      <c r="B78" s="34">
        <v>74</v>
      </c>
      <c r="C78" s="24" t="s">
        <v>23</v>
      </c>
      <c r="D78" s="18" t="s">
        <v>28</v>
      </c>
      <c r="E78" s="19" t="s">
        <v>29</v>
      </c>
      <c r="F78" s="46">
        <v>39680</v>
      </c>
      <c r="G78" s="46">
        <f t="shared" ref="G78:G84" si="13">+F78+H78</f>
        <v>39694</v>
      </c>
      <c r="H78" s="47">
        <v>14</v>
      </c>
      <c r="I78" s="47" t="s">
        <v>0</v>
      </c>
      <c r="J78" s="43" t="s">
        <v>2</v>
      </c>
      <c r="K78" s="44">
        <v>0</v>
      </c>
      <c r="L78" s="43" t="s">
        <v>2</v>
      </c>
      <c r="M78" s="7">
        <v>54420000000</v>
      </c>
      <c r="N78" s="7">
        <v>54753322500</v>
      </c>
      <c r="O78" s="44">
        <v>1</v>
      </c>
      <c r="P78" s="44">
        <v>0.1575</v>
      </c>
      <c r="Q78" s="14">
        <v>0.1575</v>
      </c>
      <c r="R78" s="7">
        <f>R77-56710000000+M78</f>
        <v>225915786371.19998</v>
      </c>
      <c r="S78" s="7">
        <f>S77-57057348750+N78</f>
        <v>228025193125</v>
      </c>
      <c r="T78" s="6">
        <f t="shared" si="7"/>
        <v>8571150000</v>
      </c>
      <c r="U78" s="40"/>
      <c r="V78" s="45"/>
      <c r="W78" s="45"/>
      <c r="X78" s="45"/>
    </row>
    <row r="79" spans="1:24" ht="26.25" customHeight="1" x14ac:dyDescent="0.2">
      <c r="A79" s="88"/>
      <c r="B79" s="34">
        <v>75</v>
      </c>
      <c r="C79" s="24" t="s">
        <v>23</v>
      </c>
      <c r="D79" s="18" t="s">
        <v>28</v>
      </c>
      <c r="E79" s="19" t="s">
        <v>29</v>
      </c>
      <c r="F79" s="46">
        <v>39682</v>
      </c>
      <c r="G79" s="46">
        <f t="shared" si="13"/>
        <v>39696</v>
      </c>
      <c r="H79" s="47">
        <v>14</v>
      </c>
      <c r="I79" s="47" t="s">
        <v>0</v>
      </c>
      <c r="J79" s="43" t="s">
        <v>2</v>
      </c>
      <c r="K79" s="44">
        <v>0</v>
      </c>
      <c r="L79" s="43" t="s">
        <v>2</v>
      </c>
      <c r="M79" s="7">
        <v>65520000000</v>
      </c>
      <c r="N79" s="7">
        <v>65921310000</v>
      </c>
      <c r="O79" s="44">
        <v>1</v>
      </c>
      <c r="P79" s="44">
        <v>0.1575</v>
      </c>
      <c r="Q79" s="14">
        <v>0.1575</v>
      </c>
      <c r="R79" s="7">
        <f>+R78-M75+M79</f>
        <v>226845786371.19998</v>
      </c>
      <c r="S79" s="7">
        <f>+S78-N75+N79</f>
        <v>228960889375</v>
      </c>
      <c r="T79" s="6">
        <f t="shared" si="7"/>
        <v>10319400000</v>
      </c>
      <c r="U79" s="40"/>
      <c r="V79" s="45"/>
      <c r="W79" s="45"/>
      <c r="X79" s="45"/>
    </row>
    <row r="80" spans="1:24" ht="26.25" customHeight="1" x14ac:dyDescent="0.2">
      <c r="A80" s="88"/>
      <c r="B80" s="34">
        <v>76</v>
      </c>
      <c r="C80" s="24" t="s">
        <v>24</v>
      </c>
      <c r="D80" s="18" t="s">
        <v>30</v>
      </c>
      <c r="E80" s="19" t="s">
        <v>25</v>
      </c>
      <c r="F80" s="41">
        <v>39685</v>
      </c>
      <c r="G80" s="41">
        <f t="shared" si="13"/>
        <v>39867</v>
      </c>
      <c r="H80" s="42">
        <v>182</v>
      </c>
      <c r="I80" s="42" t="s">
        <v>0</v>
      </c>
      <c r="J80" s="43">
        <v>2500000000</v>
      </c>
      <c r="K80" s="44">
        <v>0</v>
      </c>
      <c r="L80" s="43" t="s">
        <v>2</v>
      </c>
      <c r="M80" s="7">
        <v>2315987930</v>
      </c>
      <c r="N80" s="7">
        <v>2500000000</v>
      </c>
      <c r="O80" s="44">
        <v>1</v>
      </c>
      <c r="P80" s="44">
        <v>0.15809999999999999</v>
      </c>
      <c r="Q80" s="14">
        <v>0.15720000000000001</v>
      </c>
      <c r="R80" s="7">
        <f>+R79-1421894991+M80</f>
        <v>227739879310.19998</v>
      </c>
      <c r="S80" s="7">
        <f>+S79-1500000000+N80</f>
        <v>229960889375</v>
      </c>
      <c r="T80" s="6">
        <f t="shared" si="7"/>
        <v>364073302.59600002</v>
      </c>
      <c r="U80" s="40"/>
      <c r="V80" s="45"/>
      <c r="W80" s="45"/>
      <c r="X80" s="45"/>
    </row>
    <row r="81" spans="1:24" ht="26.25" customHeight="1" x14ac:dyDescent="0.2">
      <c r="A81" s="88"/>
      <c r="B81" s="34">
        <v>77</v>
      </c>
      <c r="C81" s="24" t="s">
        <v>23</v>
      </c>
      <c r="D81" s="18" t="s">
        <v>28</v>
      </c>
      <c r="E81" s="19" t="s">
        <v>29</v>
      </c>
      <c r="F81" s="46">
        <v>39687</v>
      </c>
      <c r="G81" s="46">
        <f t="shared" si="13"/>
        <v>39701</v>
      </c>
      <c r="H81" s="47">
        <v>14</v>
      </c>
      <c r="I81" s="47" t="s">
        <v>0</v>
      </c>
      <c r="J81" s="43" t="s">
        <v>2</v>
      </c>
      <c r="K81" s="44">
        <v>0</v>
      </c>
      <c r="L81" s="43" t="s">
        <v>2</v>
      </c>
      <c r="M81" s="7">
        <v>61240000000</v>
      </c>
      <c r="N81" s="7">
        <v>61615095000</v>
      </c>
      <c r="O81" s="44">
        <v>1</v>
      </c>
      <c r="P81" s="44">
        <v>0.1575</v>
      </c>
      <c r="Q81" s="14">
        <v>0.1575</v>
      </c>
      <c r="R81" s="7">
        <f>R80-55300000000+M81</f>
        <v>233679879310.19998</v>
      </c>
      <c r="S81" s="7">
        <f>S80-55638712500+N81</f>
        <v>235937271875</v>
      </c>
      <c r="T81" s="6">
        <f t="shared" si="7"/>
        <v>9645300000</v>
      </c>
      <c r="U81" s="40"/>
      <c r="V81" s="45"/>
      <c r="W81" s="45"/>
      <c r="X81" s="45"/>
    </row>
    <row r="82" spans="1:24" ht="26.25" customHeight="1" x14ac:dyDescent="0.2">
      <c r="A82" s="88"/>
      <c r="B82" s="34">
        <v>78</v>
      </c>
      <c r="C82" s="24" t="s">
        <v>23</v>
      </c>
      <c r="D82" s="18" t="s">
        <v>28</v>
      </c>
      <c r="E82" s="19" t="s">
        <v>29</v>
      </c>
      <c r="F82" s="46">
        <v>39689</v>
      </c>
      <c r="G82" s="46">
        <f t="shared" si="13"/>
        <v>39703</v>
      </c>
      <c r="H82" s="47">
        <v>14</v>
      </c>
      <c r="I82" s="47" t="s">
        <v>0</v>
      </c>
      <c r="J82" s="43" t="s">
        <v>2</v>
      </c>
      <c r="K82" s="44">
        <v>0</v>
      </c>
      <c r="L82" s="43" t="s">
        <v>2</v>
      </c>
      <c r="M82" s="7">
        <v>50370000000</v>
      </c>
      <c r="N82" s="7">
        <v>50678516250</v>
      </c>
      <c r="O82" s="44">
        <v>1</v>
      </c>
      <c r="P82" s="44">
        <v>0.1575</v>
      </c>
      <c r="Q82" s="14">
        <v>0.1575</v>
      </c>
      <c r="R82" s="7">
        <f>+R81-M77+M82</f>
        <v>242654879310.19998</v>
      </c>
      <c r="S82" s="7">
        <f>+S81-N77+N82</f>
        <v>244967243750</v>
      </c>
      <c r="T82" s="6">
        <f t="shared" si="7"/>
        <v>7933275000</v>
      </c>
      <c r="U82" s="40"/>
      <c r="V82" s="45"/>
      <c r="W82" s="45"/>
      <c r="X82" s="45"/>
    </row>
    <row r="83" spans="1:24" ht="26.25" customHeight="1" x14ac:dyDescent="0.2">
      <c r="A83" s="88"/>
      <c r="B83" s="34">
        <v>79</v>
      </c>
      <c r="C83" s="24" t="s">
        <v>23</v>
      </c>
      <c r="D83" s="18" t="s">
        <v>28</v>
      </c>
      <c r="E83" s="19" t="s">
        <v>29</v>
      </c>
      <c r="F83" s="46">
        <v>39694</v>
      </c>
      <c r="G83" s="46">
        <f t="shared" si="13"/>
        <v>39708</v>
      </c>
      <c r="H83" s="47">
        <v>14</v>
      </c>
      <c r="I83" s="47" t="s">
        <v>0</v>
      </c>
      <c r="J83" s="43" t="s">
        <v>2</v>
      </c>
      <c r="K83" s="44">
        <v>0</v>
      </c>
      <c r="L83" s="43" t="s">
        <v>2</v>
      </c>
      <c r="M83" s="7">
        <v>51580000000</v>
      </c>
      <c r="N83" s="7">
        <v>51895927500</v>
      </c>
      <c r="O83" s="44">
        <v>1</v>
      </c>
      <c r="P83" s="44">
        <v>0.1575</v>
      </c>
      <c r="Q83" s="14">
        <v>0.1575</v>
      </c>
      <c r="R83" s="7">
        <f>R82-54420000000+M83</f>
        <v>239814879310.19998</v>
      </c>
      <c r="S83" s="7">
        <f>S82-54753322500+N83</f>
        <v>242109848750</v>
      </c>
      <c r="T83" s="6">
        <f t="shared" si="7"/>
        <v>8123850000</v>
      </c>
      <c r="U83" s="40"/>
      <c r="V83" s="45"/>
      <c r="W83" s="45"/>
      <c r="X83" s="45"/>
    </row>
    <row r="84" spans="1:24" ht="26.25" customHeight="1" x14ac:dyDescent="0.2">
      <c r="A84" s="88"/>
      <c r="B84" s="34">
        <v>80</v>
      </c>
      <c r="C84" s="24" t="s">
        <v>23</v>
      </c>
      <c r="D84" s="18" t="s">
        <v>28</v>
      </c>
      <c r="E84" s="19" t="s">
        <v>29</v>
      </c>
      <c r="F84" s="46">
        <v>39696</v>
      </c>
      <c r="G84" s="46">
        <f t="shared" si="13"/>
        <v>39710</v>
      </c>
      <c r="H84" s="47">
        <v>14</v>
      </c>
      <c r="I84" s="47" t="s">
        <v>0</v>
      </c>
      <c r="J84" s="43" t="s">
        <v>2</v>
      </c>
      <c r="K84" s="44">
        <v>0</v>
      </c>
      <c r="L84" s="43" t="s">
        <v>2</v>
      </c>
      <c r="M84" s="7">
        <v>59050000000</v>
      </c>
      <c r="N84" s="7">
        <v>59411681250</v>
      </c>
      <c r="O84" s="44">
        <v>1</v>
      </c>
      <c r="P84" s="44">
        <v>0.1575</v>
      </c>
      <c r="Q84" s="14">
        <v>0.1575</v>
      </c>
      <c r="R84" s="7">
        <f>R83-65520000000+M84</f>
        <v>233344879310.19998</v>
      </c>
      <c r="S84" s="7">
        <f>S83-65921310000+N84</f>
        <v>235600220000</v>
      </c>
      <c r="T84" s="6">
        <f t="shared" si="7"/>
        <v>9300375000</v>
      </c>
      <c r="U84" s="40"/>
      <c r="V84" s="45"/>
      <c r="W84" s="45"/>
      <c r="X84" s="45"/>
    </row>
    <row r="85" spans="1:24" ht="26.25" customHeight="1" x14ac:dyDescent="0.2">
      <c r="A85" s="88"/>
      <c r="B85" s="34">
        <v>81</v>
      </c>
      <c r="C85" s="24" t="s">
        <v>23</v>
      </c>
      <c r="D85" s="18" t="s">
        <v>28</v>
      </c>
      <c r="E85" s="19" t="s">
        <v>29</v>
      </c>
      <c r="F85" s="46">
        <v>39701</v>
      </c>
      <c r="G85" s="46">
        <f t="shared" ref="G85:G91" si="14">+F85+H85</f>
        <v>39715</v>
      </c>
      <c r="H85" s="47">
        <v>14</v>
      </c>
      <c r="I85" s="47" t="s">
        <v>0</v>
      </c>
      <c r="J85" s="43" t="s">
        <v>2</v>
      </c>
      <c r="K85" s="44">
        <v>0</v>
      </c>
      <c r="L85" s="43" t="s">
        <v>2</v>
      </c>
      <c r="M85" s="7">
        <v>66760000000</v>
      </c>
      <c r="N85" s="7">
        <v>67168905000</v>
      </c>
      <c r="O85" s="44">
        <v>1</v>
      </c>
      <c r="P85" s="44">
        <v>0.1575</v>
      </c>
      <c r="Q85" s="14">
        <v>0.1575</v>
      </c>
      <c r="R85" s="7">
        <f>R84-61240000000+M85</f>
        <v>238864879310.19998</v>
      </c>
      <c r="S85" s="7">
        <f>S84-61615095000+N85</f>
        <v>241154030000</v>
      </c>
      <c r="T85" s="6">
        <f t="shared" si="7"/>
        <v>10514700000</v>
      </c>
      <c r="U85" s="40"/>
      <c r="V85" s="45"/>
      <c r="W85" s="45"/>
      <c r="X85" s="45"/>
    </row>
    <row r="86" spans="1:24" ht="26.25" customHeight="1" x14ac:dyDescent="0.2">
      <c r="A86" s="88"/>
      <c r="B86" s="34">
        <v>82</v>
      </c>
      <c r="C86" s="24" t="s">
        <v>23</v>
      </c>
      <c r="D86" s="18" t="s">
        <v>28</v>
      </c>
      <c r="E86" s="19" t="s">
        <v>29</v>
      </c>
      <c r="F86" s="46">
        <v>39703</v>
      </c>
      <c r="G86" s="46">
        <f t="shared" si="14"/>
        <v>39717</v>
      </c>
      <c r="H86" s="47">
        <v>14</v>
      </c>
      <c r="I86" s="47" t="s">
        <v>0</v>
      </c>
      <c r="J86" s="43" t="s">
        <v>2</v>
      </c>
      <c r="K86" s="44">
        <v>0</v>
      </c>
      <c r="L86" s="43" t="s">
        <v>2</v>
      </c>
      <c r="M86" s="7">
        <v>48565000000</v>
      </c>
      <c r="N86" s="7">
        <v>48862460625</v>
      </c>
      <c r="O86" s="44">
        <v>1</v>
      </c>
      <c r="P86" s="44">
        <v>0.1575</v>
      </c>
      <c r="Q86" s="14">
        <v>0.1575</v>
      </c>
      <c r="R86" s="7">
        <f>+R85-M82+M86</f>
        <v>237059879310.19998</v>
      </c>
      <c r="S86" s="7">
        <f>+S85-N82+N86</f>
        <v>239337974375</v>
      </c>
      <c r="T86" s="6">
        <f t="shared" si="7"/>
        <v>7648987500</v>
      </c>
      <c r="U86" s="40"/>
      <c r="V86" s="45"/>
      <c r="W86" s="45"/>
      <c r="X86" s="45"/>
    </row>
    <row r="87" spans="1:24" ht="26.25" customHeight="1" x14ac:dyDescent="0.2">
      <c r="A87" s="88"/>
      <c r="B87" s="34">
        <v>83</v>
      </c>
      <c r="C87" s="24" t="s">
        <v>23</v>
      </c>
      <c r="D87" s="18" t="s">
        <v>28</v>
      </c>
      <c r="E87" s="19" t="s">
        <v>29</v>
      </c>
      <c r="F87" s="46">
        <v>39708</v>
      </c>
      <c r="G87" s="46">
        <f t="shared" si="14"/>
        <v>39722</v>
      </c>
      <c r="H87" s="47">
        <v>14</v>
      </c>
      <c r="I87" s="47" t="s">
        <v>0</v>
      </c>
      <c r="J87" s="43" t="s">
        <v>2</v>
      </c>
      <c r="K87" s="44">
        <v>0</v>
      </c>
      <c r="L87" s="43" t="s">
        <v>2</v>
      </c>
      <c r="M87" s="7">
        <v>48250000000</v>
      </c>
      <c r="N87" s="7">
        <v>48545531250</v>
      </c>
      <c r="O87" s="44">
        <v>1</v>
      </c>
      <c r="P87" s="44">
        <v>0.1575</v>
      </c>
      <c r="Q87" s="14">
        <v>0.1575</v>
      </c>
      <c r="R87" s="7">
        <f>R86-51580000000+M87</f>
        <v>233729879310.19998</v>
      </c>
      <c r="S87" s="7">
        <f>S86-51895927500+N87</f>
        <v>235987578125</v>
      </c>
      <c r="T87" s="6">
        <f t="shared" si="7"/>
        <v>7599375000</v>
      </c>
      <c r="U87" s="40"/>
      <c r="V87" s="45"/>
      <c r="W87" s="45"/>
      <c r="X87" s="45"/>
    </row>
    <row r="88" spans="1:24" ht="26.25" customHeight="1" x14ac:dyDescent="0.2">
      <c r="A88" s="88"/>
      <c r="B88" s="34">
        <v>84</v>
      </c>
      <c r="C88" s="24" t="s">
        <v>23</v>
      </c>
      <c r="D88" s="18" t="s">
        <v>28</v>
      </c>
      <c r="E88" s="19" t="s">
        <v>29</v>
      </c>
      <c r="F88" s="46">
        <v>39710</v>
      </c>
      <c r="G88" s="46">
        <f t="shared" si="14"/>
        <v>39724</v>
      </c>
      <c r="H88" s="47">
        <v>14</v>
      </c>
      <c r="I88" s="47" t="s">
        <v>0</v>
      </c>
      <c r="J88" s="43" t="s">
        <v>2</v>
      </c>
      <c r="K88" s="44">
        <v>0</v>
      </c>
      <c r="L88" s="43" t="s">
        <v>2</v>
      </c>
      <c r="M88" s="7">
        <v>53770000000</v>
      </c>
      <c r="N88" s="7">
        <v>54099341250</v>
      </c>
      <c r="O88" s="44">
        <v>1</v>
      </c>
      <c r="P88" s="44">
        <v>0.1575</v>
      </c>
      <c r="Q88" s="14">
        <v>0.1575</v>
      </c>
      <c r="R88" s="7">
        <f>+R87-M84+M88</f>
        <v>228449879310.19998</v>
      </c>
      <c r="S88" s="7">
        <f>+S87-N84+N88</f>
        <v>230675238125</v>
      </c>
      <c r="T88" s="6">
        <f t="shared" si="7"/>
        <v>8468775000</v>
      </c>
      <c r="U88" s="40"/>
      <c r="V88" s="45"/>
      <c r="W88" s="45"/>
      <c r="X88" s="45"/>
    </row>
    <row r="89" spans="1:24" ht="26.25" customHeight="1" x14ac:dyDescent="0.2">
      <c r="A89" s="88"/>
      <c r="B89" s="34">
        <v>85</v>
      </c>
      <c r="C89" s="24" t="s">
        <v>24</v>
      </c>
      <c r="D89" s="18" t="s">
        <v>30</v>
      </c>
      <c r="E89" s="19" t="s">
        <v>25</v>
      </c>
      <c r="F89" s="41">
        <v>39713</v>
      </c>
      <c r="G89" s="41">
        <f t="shared" si="14"/>
        <v>39895</v>
      </c>
      <c r="H89" s="42">
        <v>182</v>
      </c>
      <c r="I89" s="42" t="s">
        <v>0</v>
      </c>
      <c r="J89" s="43">
        <v>2500000000</v>
      </c>
      <c r="K89" s="44">
        <v>0</v>
      </c>
      <c r="L89" s="43" t="s">
        <v>2</v>
      </c>
      <c r="M89" s="7">
        <v>2324326250</v>
      </c>
      <c r="N89" s="7">
        <v>2500000000</v>
      </c>
      <c r="O89" s="44">
        <v>1</v>
      </c>
      <c r="P89" s="44">
        <v>0.14949999999999999</v>
      </c>
      <c r="Q89" s="14">
        <v>0.14949999999999999</v>
      </c>
      <c r="R89" s="7">
        <f>R88-1392635475+M89</f>
        <v>229381570085.19998</v>
      </c>
      <c r="S89" s="7">
        <f>S88-1500000000+N89</f>
        <v>231675238125</v>
      </c>
      <c r="T89" s="6">
        <f t="shared" si="7"/>
        <v>347486774.375</v>
      </c>
      <c r="U89" s="40"/>
      <c r="V89" s="45"/>
      <c r="W89" s="45"/>
      <c r="X89" s="45"/>
    </row>
    <row r="90" spans="1:24" ht="26.25" customHeight="1" x14ac:dyDescent="0.2">
      <c r="A90" s="88"/>
      <c r="B90" s="34">
        <v>86</v>
      </c>
      <c r="C90" s="24" t="s">
        <v>23</v>
      </c>
      <c r="D90" s="18" t="s">
        <v>28</v>
      </c>
      <c r="E90" s="19" t="s">
        <v>29</v>
      </c>
      <c r="F90" s="46">
        <v>39715</v>
      </c>
      <c r="G90" s="46">
        <f t="shared" si="14"/>
        <v>39729</v>
      </c>
      <c r="H90" s="47">
        <v>14</v>
      </c>
      <c r="I90" s="47" t="s">
        <v>0</v>
      </c>
      <c r="J90" s="43" t="s">
        <v>2</v>
      </c>
      <c r="K90" s="44">
        <v>0</v>
      </c>
      <c r="L90" s="43" t="s">
        <v>2</v>
      </c>
      <c r="M90" s="7">
        <v>75725000000</v>
      </c>
      <c r="N90" s="7">
        <v>76188815625</v>
      </c>
      <c r="O90" s="44">
        <v>1</v>
      </c>
      <c r="P90" s="44">
        <v>0.1575</v>
      </c>
      <c r="Q90" s="14">
        <v>0.1575</v>
      </c>
      <c r="R90" s="7">
        <f>+R89-M85+M90</f>
        <v>238346570085.19998</v>
      </c>
      <c r="S90" s="11">
        <f>+S89-N85+N90</f>
        <v>240695148750</v>
      </c>
      <c r="T90" s="6">
        <f t="shared" si="7"/>
        <v>11926687500</v>
      </c>
      <c r="U90" s="40"/>
      <c r="V90" s="45"/>
      <c r="W90" s="45"/>
      <c r="X90" s="45"/>
    </row>
    <row r="91" spans="1:24" ht="26.25" customHeight="1" x14ac:dyDescent="0.2">
      <c r="A91" s="88"/>
      <c r="B91" s="34">
        <v>87</v>
      </c>
      <c r="C91" s="24" t="s">
        <v>23</v>
      </c>
      <c r="D91" s="18" t="s">
        <v>28</v>
      </c>
      <c r="E91" s="19" t="s">
        <v>29</v>
      </c>
      <c r="F91" s="46">
        <v>39717</v>
      </c>
      <c r="G91" s="46">
        <f t="shared" si="14"/>
        <v>39731</v>
      </c>
      <c r="H91" s="47">
        <v>14</v>
      </c>
      <c r="I91" s="47" t="s">
        <v>0</v>
      </c>
      <c r="J91" s="43" t="s">
        <v>2</v>
      </c>
      <c r="K91" s="44">
        <v>0</v>
      </c>
      <c r="L91" s="43" t="s">
        <v>2</v>
      </c>
      <c r="M91" s="7">
        <v>56110000000</v>
      </c>
      <c r="N91" s="7">
        <v>56453673750</v>
      </c>
      <c r="O91" s="44">
        <v>1</v>
      </c>
      <c r="P91" s="44">
        <v>0.1575</v>
      </c>
      <c r="Q91" s="14">
        <v>0.1575</v>
      </c>
      <c r="R91" s="7">
        <f>+R90+M91-M86</f>
        <v>245891570085.19995</v>
      </c>
      <c r="S91" s="7">
        <f>+S90+N91-N86</f>
        <v>248286361875</v>
      </c>
      <c r="T91" s="6">
        <f t="shared" si="7"/>
        <v>8837325000</v>
      </c>
      <c r="U91" s="40"/>
      <c r="V91" s="45"/>
      <c r="W91" s="45"/>
      <c r="X91" s="45"/>
    </row>
    <row r="92" spans="1:24" ht="26.25" customHeight="1" x14ac:dyDescent="0.2">
      <c r="A92" s="88"/>
      <c r="B92" s="34">
        <v>88</v>
      </c>
      <c r="C92" s="24" t="s">
        <v>23</v>
      </c>
      <c r="D92" s="18" t="s">
        <v>28</v>
      </c>
      <c r="E92" s="19" t="s">
        <v>29</v>
      </c>
      <c r="F92" s="46">
        <v>39722</v>
      </c>
      <c r="G92" s="46">
        <f t="shared" ref="G92:G98" si="15">+F92+H92</f>
        <v>39736</v>
      </c>
      <c r="H92" s="47">
        <v>14</v>
      </c>
      <c r="I92" s="47" t="s">
        <v>0</v>
      </c>
      <c r="J92" s="43" t="s">
        <v>2</v>
      </c>
      <c r="K92" s="44">
        <v>0</v>
      </c>
      <c r="L92" s="43" t="s">
        <v>2</v>
      </c>
      <c r="M92" s="7">
        <v>45080000000</v>
      </c>
      <c r="N92" s="7">
        <v>45356115000</v>
      </c>
      <c r="O92" s="44">
        <v>1</v>
      </c>
      <c r="P92" s="44">
        <v>0.1575</v>
      </c>
      <c r="Q92" s="14">
        <v>0.1575</v>
      </c>
      <c r="R92" s="7">
        <f>R91-48250000000+M92</f>
        <v>242721570085.19995</v>
      </c>
      <c r="S92" s="7">
        <f>S91-48545531250+N92</f>
        <v>245096945625</v>
      </c>
      <c r="T92" s="6">
        <f t="shared" si="7"/>
        <v>7100100000</v>
      </c>
      <c r="U92" s="40"/>
      <c r="V92" s="45"/>
      <c r="W92" s="45"/>
      <c r="X92" s="45"/>
    </row>
    <row r="93" spans="1:24" ht="26.25" customHeight="1" x14ac:dyDescent="0.2">
      <c r="A93" s="88"/>
      <c r="B93" s="34">
        <v>89</v>
      </c>
      <c r="C93" s="24" t="s">
        <v>23</v>
      </c>
      <c r="D93" s="18" t="s">
        <v>28</v>
      </c>
      <c r="E93" s="19" t="s">
        <v>29</v>
      </c>
      <c r="F93" s="46">
        <v>39724</v>
      </c>
      <c r="G93" s="46">
        <f t="shared" si="15"/>
        <v>39738</v>
      </c>
      <c r="H93" s="47">
        <v>14</v>
      </c>
      <c r="I93" s="47" t="s">
        <v>0</v>
      </c>
      <c r="J93" s="43" t="s">
        <v>2</v>
      </c>
      <c r="K93" s="44">
        <v>0</v>
      </c>
      <c r="L93" s="43" t="s">
        <v>2</v>
      </c>
      <c r="M93" s="7">
        <v>39865000000</v>
      </c>
      <c r="N93" s="7">
        <v>40109173125</v>
      </c>
      <c r="O93" s="44">
        <v>1</v>
      </c>
      <c r="P93" s="44">
        <v>0.1575</v>
      </c>
      <c r="Q93" s="14">
        <v>0.1575</v>
      </c>
      <c r="R93" s="7">
        <f>+R92-M88+M93</f>
        <v>228816570085.19995</v>
      </c>
      <c r="S93" s="7">
        <f>+S92-N88+N93</f>
        <v>231106777500</v>
      </c>
      <c r="T93" s="6">
        <f t="shared" si="7"/>
        <v>6278737500</v>
      </c>
      <c r="U93" s="40"/>
      <c r="V93" s="45"/>
      <c r="W93" s="45"/>
      <c r="X93" s="45"/>
    </row>
    <row r="94" spans="1:24" ht="26.25" customHeight="1" x14ac:dyDescent="0.2">
      <c r="A94" s="88"/>
      <c r="B94" s="34">
        <v>90</v>
      </c>
      <c r="C94" s="24" t="s">
        <v>23</v>
      </c>
      <c r="D94" s="18" t="s">
        <v>28</v>
      </c>
      <c r="E94" s="19" t="s">
        <v>29</v>
      </c>
      <c r="F94" s="46">
        <v>39729</v>
      </c>
      <c r="G94" s="46">
        <f t="shared" si="15"/>
        <v>39743</v>
      </c>
      <c r="H94" s="47">
        <v>14</v>
      </c>
      <c r="I94" s="47" t="s">
        <v>0</v>
      </c>
      <c r="J94" s="43" t="s">
        <v>2</v>
      </c>
      <c r="K94" s="44">
        <v>0</v>
      </c>
      <c r="L94" s="43" t="s">
        <v>2</v>
      </c>
      <c r="M94" s="7">
        <v>80380000000</v>
      </c>
      <c r="N94" s="7">
        <v>80872327500</v>
      </c>
      <c r="O94" s="44">
        <v>1</v>
      </c>
      <c r="P94" s="44">
        <v>0.1575</v>
      </c>
      <c r="Q94" s="14">
        <v>0.1575</v>
      </c>
      <c r="R94" s="7">
        <f>+R93+M94-M90</f>
        <v>233471570085.19995</v>
      </c>
      <c r="S94" s="7">
        <f>+S93+N94-N90</f>
        <v>235790289375</v>
      </c>
      <c r="T94" s="6">
        <f t="shared" si="7"/>
        <v>12659850000</v>
      </c>
      <c r="U94" s="40"/>
      <c r="V94" s="45"/>
      <c r="W94" s="45"/>
      <c r="X94" s="45"/>
    </row>
    <row r="95" spans="1:24" ht="26.25" customHeight="1" x14ac:dyDescent="0.2">
      <c r="A95" s="88"/>
      <c r="B95" s="34">
        <v>91</v>
      </c>
      <c r="C95" s="24" t="s">
        <v>23</v>
      </c>
      <c r="D95" s="18" t="s">
        <v>28</v>
      </c>
      <c r="E95" s="19" t="s">
        <v>29</v>
      </c>
      <c r="F95" s="46">
        <v>39731</v>
      </c>
      <c r="G95" s="46">
        <f t="shared" si="15"/>
        <v>39745</v>
      </c>
      <c r="H95" s="47">
        <v>14</v>
      </c>
      <c r="I95" s="47" t="s">
        <v>0</v>
      </c>
      <c r="J95" s="43" t="s">
        <v>2</v>
      </c>
      <c r="K95" s="44">
        <v>0</v>
      </c>
      <c r="L95" s="43" t="s">
        <v>2</v>
      </c>
      <c r="M95" s="7">
        <v>52595000000</v>
      </c>
      <c r="N95" s="7">
        <v>52917144375</v>
      </c>
      <c r="O95" s="44">
        <v>1</v>
      </c>
      <c r="P95" s="44">
        <v>0.1575</v>
      </c>
      <c r="Q95" s="14">
        <v>0.1575</v>
      </c>
      <c r="R95" s="7">
        <f>R94-56110000000+M95</f>
        <v>229956570085.19995</v>
      </c>
      <c r="S95" s="7">
        <f>S94-56453673750+N95</f>
        <v>232253760000</v>
      </c>
      <c r="T95" s="6">
        <f t="shared" si="7"/>
        <v>8283712500</v>
      </c>
      <c r="U95" s="40"/>
      <c r="V95" s="45"/>
      <c r="W95" s="45"/>
      <c r="X95" s="45"/>
    </row>
    <row r="96" spans="1:24" ht="26.25" customHeight="1" x14ac:dyDescent="0.2">
      <c r="A96" s="88"/>
      <c r="B96" s="34">
        <v>92</v>
      </c>
      <c r="C96" s="24" t="s">
        <v>23</v>
      </c>
      <c r="D96" s="18" t="s">
        <v>28</v>
      </c>
      <c r="E96" s="19" t="s">
        <v>29</v>
      </c>
      <c r="F96" s="46">
        <v>39736</v>
      </c>
      <c r="G96" s="46">
        <f t="shared" si="15"/>
        <v>39750</v>
      </c>
      <c r="H96" s="47">
        <v>14</v>
      </c>
      <c r="I96" s="47" t="s">
        <v>0</v>
      </c>
      <c r="J96" s="43" t="s">
        <v>2</v>
      </c>
      <c r="K96" s="44">
        <v>0</v>
      </c>
      <c r="L96" s="43" t="s">
        <v>2</v>
      </c>
      <c r="M96" s="7">
        <v>24800000000</v>
      </c>
      <c r="N96" s="7">
        <v>24951900000</v>
      </c>
      <c r="O96" s="44">
        <v>1</v>
      </c>
      <c r="P96" s="44">
        <v>0.1575</v>
      </c>
      <c r="Q96" s="14">
        <v>0.1575</v>
      </c>
      <c r="R96" s="7">
        <f>+R95-M92+M96</f>
        <v>209676570085.19995</v>
      </c>
      <c r="S96" s="7">
        <f>+S95-N92+N96</f>
        <v>211849545000</v>
      </c>
      <c r="T96" s="6">
        <f t="shared" si="7"/>
        <v>3906000000</v>
      </c>
      <c r="U96" s="40"/>
      <c r="V96" s="45"/>
      <c r="W96" s="45"/>
      <c r="X96" s="45"/>
    </row>
    <row r="97" spans="1:24" ht="26.25" customHeight="1" x14ac:dyDescent="0.2">
      <c r="A97" s="88"/>
      <c r="B97" s="34">
        <v>93</v>
      </c>
      <c r="C97" s="24" t="s">
        <v>23</v>
      </c>
      <c r="D97" s="18" t="s">
        <v>28</v>
      </c>
      <c r="E97" s="19" t="s">
        <v>29</v>
      </c>
      <c r="F97" s="46">
        <v>39738</v>
      </c>
      <c r="G97" s="46">
        <f t="shared" si="15"/>
        <v>39752</v>
      </c>
      <c r="H97" s="47">
        <v>14</v>
      </c>
      <c r="I97" s="47" t="s">
        <v>0</v>
      </c>
      <c r="J97" s="43" t="s">
        <v>2</v>
      </c>
      <c r="K97" s="44">
        <v>0</v>
      </c>
      <c r="L97" s="43" t="s">
        <v>2</v>
      </c>
      <c r="M97" s="7">
        <v>38465000000</v>
      </c>
      <c r="N97" s="7">
        <v>38700598125</v>
      </c>
      <c r="O97" s="44">
        <v>1</v>
      </c>
      <c r="P97" s="44">
        <v>0.1575</v>
      </c>
      <c r="Q97" s="14">
        <v>0.1575</v>
      </c>
      <c r="R97" s="7">
        <f>+R96+M97-M93</f>
        <v>208276570085.19995</v>
      </c>
      <c r="S97" s="7">
        <f>+S96+N97-N93</f>
        <v>210440970000</v>
      </c>
      <c r="T97" s="6">
        <f t="shared" si="7"/>
        <v>6058237500</v>
      </c>
      <c r="U97" s="40"/>
      <c r="V97" s="45"/>
      <c r="W97" s="45"/>
      <c r="X97" s="45"/>
    </row>
    <row r="98" spans="1:24" ht="26.25" customHeight="1" x14ac:dyDescent="0.2">
      <c r="A98" s="88"/>
      <c r="B98" s="34">
        <v>94</v>
      </c>
      <c r="C98" s="24" t="s">
        <v>23</v>
      </c>
      <c r="D98" s="18" t="s">
        <v>28</v>
      </c>
      <c r="E98" s="19" t="s">
        <v>29</v>
      </c>
      <c r="F98" s="46">
        <v>39743</v>
      </c>
      <c r="G98" s="46">
        <f t="shared" si="15"/>
        <v>39757</v>
      </c>
      <c r="H98" s="47">
        <v>14</v>
      </c>
      <c r="I98" s="47" t="s">
        <v>0</v>
      </c>
      <c r="J98" s="43" t="s">
        <v>2</v>
      </c>
      <c r="K98" s="44">
        <v>0</v>
      </c>
      <c r="L98" s="43" t="s">
        <v>2</v>
      </c>
      <c r="M98" s="7">
        <v>47550000000</v>
      </c>
      <c r="N98" s="7">
        <v>47841243750</v>
      </c>
      <c r="O98" s="44">
        <v>1</v>
      </c>
      <c r="P98" s="44">
        <v>0.1575</v>
      </c>
      <c r="Q98" s="14">
        <v>0.1575</v>
      </c>
      <c r="R98" s="7">
        <f>R97-80380000000+47550000000</f>
        <v>175446570085.19995</v>
      </c>
      <c r="S98" s="7">
        <f>S97-80872327500+N98</f>
        <v>177409886250</v>
      </c>
      <c r="T98" s="6">
        <f t="shared" si="7"/>
        <v>7489125000</v>
      </c>
      <c r="U98" s="40"/>
      <c r="V98" s="45"/>
      <c r="W98" s="45"/>
      <c r="X98" s="45"/>
    </row>
    <row r="99" spans="1:24" ht="26.25" customHeight="1" x14ac:dyDescent="0.2">
      <c r="A99" s="88"/>
      <c r="B99" s="34">
        <v>95</v>
      </c>
      <c r="C99" s="24" t="s">
        <v>23</v>
      </c>
      <c r="D99" s="18" t="s">
        <v>28</v>
      </c>
      <c r="E99" s="19" t="s">
        <v>29</v>
      </c>
      <c r="F99" s="46">
        <v>39745</v>
      </c>
      <c r="G99" s="46">
        <f t="shared" ref="G99:G104" si="16">+F99+H99</f>
        <v>39759</v>
      </c>
      <c r="H99" s="47">
        <v>14</v>
      </c>
      <c r="I99" s="47" t="s">
        <v>0</v>
      </c>
      <c r="J99" s="43" t="s">
        <v>2</v>
      </c>
      <c r="K99" s="44">
        <v>0</v>
      </c>
      <c r="L99" s="43" t="s">
        <v>2</v>
      </c>
      <c r="M99" s="7">
        <v>49940000000</v>
      </c>
      <c r="N99" s="7">
        <v>50245882500</v>
      </c>
      <c r="O99" s="44">
        <v>1</v>
      </c>
      <c r="P99" s="44">
        <v>0.1575</v>
      </c>
      <c r="Q99" s="14">
        <v>0.1575</v>
      </c>
      <c r="R99" s="7">
        <f>+R98-M95+M99</f>
        <v>172791570085.19995</v>
      </c>
      <c r="S99" s="7">
        <f>+S98-N95+N99</f>
        <v>174738624375</v>
      </c>
      <c r="T99" s="6">
        <f t="shared" si="7"/>
        <v>7865550000</v>
      </c>
      <c r="U99" s="40"/>
      <c r="V99" s="45"/>
      <c r="W99" s="45"/>
      <c r="X99" s="45"/>
    </row>
    <row r="100" spans="1:24" ht="26.25" customHeight="1" x14ac:dyDescent="0.2">
      <c r="A100" s="88"/>
      <c r="B100" s="34">
        <v>96</v>
      </c>
      <c r="C100" s="24" t="s">
        <v>24</v>
      </c>
      <c r="D100" s="18" t="s">
        <v>30</v>
      </c>
      <c r="E100" s="19" t="s">
        <v>25</v>
      </c>
      <c r="F100" s="41">
        <v>39748</v>
      </c>
      <c r="G100" s="41">
        <f t="shared" si="16"/>
        <v>39930</v>
      </c>
      <c r="H100" s="42">
        <v>182</v>
      </c>
      <c r="I100" s="42" t="s">
        <v>0</v>
      </c>
      <c r="J100" s="43">
        <v>2500000000</v>
      </c>
      <c r="K100" s="44">
        <v>0</v>
      </c>
      <c r="L100" s="43" t="s">
        <v>2</v>
      </c>
      <c r="M100" s="7">
        <v>2308489836.7199998</v>
      </c>
      <c r="N100" s="7">
        <v>2500000000</v>
      </c>
      <c r="O100" s="44">
        <v>1</v>
      </c>
      <c r="P100" s="44">
        <v>0.17050000000000001</v>
      </c>
      <c r="Q100" s="14">
        <v>0.1641</v>
      </c>
      <c r="R100" s="7">
        <f>+R99-1387116652.8+M100</f>
        <v>173712943269.11996</v>
      </c>
      <c r="S100" s="7">
        <f>+S99-1500000000+N100</f>
        <v>175738624375</v>
      </c>
      <c r="T100" s="6">
        <f t="shared" si="7"/>
        <v>378823182.20575196</v>
      </c>
      <c r="U100" s="40"/>
      <c r="V100" s="45"/>
      <c r="W100" s="45"/>
      <c r="X100" s="45"/>
    </row>
    <row r="101" spans="1:24" ht="26.25" customHeight="1" x14ac:dyDescent="0.2">
      <c r="A101" s="88"/>
      <c r="B101" s="34">
        <v>97</v>
      </c>
      <c r="C101" s="24" t="s">
        <v>23</v>
      </c>
      <c r="D101" s="18" t="s">
        <v>28</v>
      </c>
      <c r="E101" s="19" t="s">
        <v>29</v>
      </c>
      <c r="F101" s="46">
        <v>39750</v>
      </c>
      <c r="G101" s="46">
        <f t="shared" si="16"/>
        <v>39764</v>
      </c>
      <c r="H101" s="47">
        <v>14</v>
      </c>
      <c r="I101" s="47" t="s">
        <v>0</v>
      </c>
      <c r="J101" s="43" t="s">
        <v>2</v>
      </c>
      <c r="K101" s="44">
        <v>0</v>
      </c>
      <c r="L101" s="43" t="s">
        <v>2</v>
      </c>
      <c r="M101" s="7">
        <v>38370000000</v>
      </c>
      <c r="N101" s="7">
        <v>38605016250</v>
      </c>
      <c r="O101" s="44">
        <v>1</v>
      </c>
      <c r="P101" s="44">
        <v>0.1575</v>
      </c>
      <c r="Q101" s="14">
        <v>0.1575</v>
      </c>
      <c r="R101" s="7">
        <f>R100-24800000000+M101</f>
        <v>187282943269.11996</v>
      </c>
      <c r="S101" s="7">
        <f>S100-24951900000+N101</f>
        <v>189391740625</v>
      </c>
      <c r="T101" s="6">
        <f t="shared" si="7"/>
        <v>6043275000</v>
      </c>
      <c r="U101" s="40"/>
      <c r="V101" s="45"/>
      <c r="W101" s="45"/>
      <c r="X101" s="45"/>
    </row>
    <row r="102" spans="1:24" ht="26.25" customHeight="1" x14ac:dyDescent="0.2">
      <c r="A102" s="88"/>
      <c r="B102" s="34">
        <v>98</v>
      </c>
      <c r="C102" s="24" t="s">
        <v>23</v>
      </c>
      <c r="D102" s="18" t="s">
        <v>28</v>
      </c>
      <c r="E102" s="19" t="s">
        <v>29</v>
      </c>
      <c r="F102" s="46">
        <v>39752</v>
      </c>
      <c r="G102" s="46">
        <f t="shared" si="16"/>
        <v>39766</v>
      </c>
      <c r="H102" s="47">
        <v>14</v>
      </c>
      <c r="I102" s="47" t="s">
        <v>0</v>
      </c>
      <c r="J102" s="43" t="s">
        <v>2</v>
      </c>
      <c r="K102" s="44">
        <v>0</v>
      </c>
      <c r="L102" s="43" t="s">
        <v>2</v>
      </c>
      <c r="M102" s="7">
        <v>39440000000</v>
      </c>
      <c r="N102" s="7">
        <v>39681570000</v>
      </c>
      <c r="O102" s="44">
        <v>1</v>
      </c>
      <c r="P102" s="44">
        <v>0.1575</v>
      </c>
      <c r="Q102" s="14">
        <v>0.1575</v>
      </c>
      <c r="R102" s="7">
        <f>+R101-M97+M102</f>
        <v>188257943269.11996</v>
      </c>
      <c r="S102" s="7">
        <f>+S101-N97+N102</f>
        <v>190372712500</v>
      </c>
      <c r="T102" s="6">
        <f t="shared" si="7"/>
        <v>6211800000</v>
      </c>
      <c r="U102" s="40"/>
      <c r="V102" s="45"/>
      <c r="W102" s="45"/>
      <c r="X102" s="45"/>
    </row>
    <row r="103" spans="1:24" ht="26.25" customHeight="1" x14ac:dyDescent="0.2">
      <c r="A103" s="88"/>
      <c r="B103" s="34">
        <v>99</v>
      </c>
      <c r="C103" s="24" t="s">
        <v>23</v>
      </c>
      <c r="D103" s="18" t="s">
        <v>28</v>
      </c>
      <c r="E103" s="19" t="s">
        <v>29</v>
      </c>
      <c r="F103" s="46">
        <v>39757</v>
      </c>
      <c r="G103" s="46">
        <f t="shared" si="16"/>
        <v>39771</v>
      </c>
      <c r="H103" s="47">
        <v>14</v>
      </c>
      <c r="I103" s="47" t="s">
        <v>0</v>
      </c>
      <c r="J103" s="43" t="s">
        <v>2</v>
      </c>
      <c r="K103" s="44">
        <v>0</v>
      </c>
      <c r="L103" s="43" t="s">
        <v>2</v>
      </c>
      <c r="M103" s="7">
        <v>43325000000</v>
      </c>
      <c r="N103" s="7">
        <v>43624063810</v>
      </c>
      <c r="O103" s="44">
        <v>1</v>
      </c>
      <c r="P103" s="44">
        <v>0.17749999999999999</v>
      </c>
      <c r="Q103" s="14">
        <v>0.17749999999999999</v>
      </c>
      <c r="R103" s="7">
        <f>R102-47550000000+M103</f>
        <v>184032943269.11996</v>
      </c>
      <c r="S103" s="7">
        <f>S102-47841243750+N103</f>
        <v>186155532560</v>
      </c>
      <c r="T103" s="6">
        <f t="shared" si="7"/>
        <v>7690187500</v>
      </c>
      <c r="U103" s="40"/>
      <c r="V103" s="45"/>
      <c r="W103" s="45"/>
      <c r="X103" s="45"/>
    </row>
    <row r="104" spans="1:24" ht="26.25" customHeight="1" x14ac:dyDescent="0.2">
      <c r="A104" s="88"/>
      <c r="B104" s="34">
        <v>100</v>
      </c>
      <c r="C104" s="24" t="s">
        <v>23</v>
      </c>
      <c r="D104" s="18" t="s">
        <v>28</v>
      </c>
      <c r="E104" s="19" t="s">
        <v>29</v>
      </c>
      <c r="F104" s="46">
        <v>39759</v>
      </c>
      <c r="G104" s="46">
        <f t="shared" si="16"/>
        <v>39773</v>
      </c>
      <c r="H104" s="47">
        <v>14</v>
      </c>
      <c r="I104" s="47" t="s">
        <v>0</v>
      </c>
      <c r="J104" s="43" t="s">
        <v>2</v>
      </c>
      <c r="K104" s="44">
        <v>0</v>
      </c>
      <c r="L104" s="43" t="s">
        <v>2</v>
      </c>
      <c r="M104" s="7">
        <v>49325000000</v>
      </c>
      <c r="N104" s="7">
        <v>49665480610</v>
      </c>
      <c r="O104" s="44">
        <v>1</v>
      </c>
      <c r="P104" s="44">
        <v>0.17749999999999999</v>
      </c>
      <c r="Q104" s="14">
        <v>0.17749999999999999</v>
      </c>
      <c r="R104" s="7">
        <f>R103-49940000000+M104</f>
        <v>183417943269.11996</v>
      </c>
      <c r="S104" s="7">
        <f>S103-50245882500+N104</f>
        <v>185575130670</v>
      </c>
      <c r="T104" s="6">
        <f t="shared" si="7"/>
        <v>8755187500</v>
      </c>
      <c r="U104" s="40"/>
      <c r="V104" s="45"/>
      <c r="W104" s="45"/>
      <c r="X104" s="45"/>
    </row>
    <row r="105" spans="1:24" ht="26.25" customHeight="1" x14ac:dyDescent="0.2">
      <c r="A105" s="88"/>
      <c r="B105" s="34">
        <v>101</v>
      </c>
      <c r="C105" s="24" t="s">
        <v>23</v>
      </c>
      <c r="D105" s="18" t="s">
        <v>28</v>
      </c>
      <c r="E105" s="19" t="s">
        <v>29</v>
      </c>
      <c r="F105" s="46">
        <v>39764</v>
      </c>
      <c r="G105" s="46">
        <f t="shared" ref="G105:G111" si="17">+F105+H105</f>
        <v>39778</v>
      </c>
      <c r="H105" s="47">
        <v>14</v>
      </c>
      <c r="I105" s="47" t="s">
        <v>0</v>
      </c>
      <c r="J105" s="43" t="s">
        <v>2</v>
      </c>
      <c r="K105" s="44">
        <v>0</v>
      </c>
      <c r="L105" s="43" t="s">
        <v>2</v>
      </c>
      <c r="M105" s="7">
        <v>31850000000</v>
      </c>
      <c r="N105" s="7">
        <v>32069854180</v>
      </c>
      <c r="O105" s="44">
        <v>1</v>
      </c>
      <c r="P105" s="44">
        <v>0.17749999999999999</v>
      </c>
      <c r="Q105" s="14">
        <v>0.17749999999999999</v>
      </c>
      <c r="R105" s="7">
        <f>+R104-M101+M105</f>
        <v>176897943269.11996</v>
      </c>
      <c r="S105" s="7">
        <f>+S104-N101+N105</f>
        <v>179039968600</v>
      </c>
      <c r="T105" s="6">
        <f t="shared" si="7"/>
        <v>5653375000</v>
      </c>
      <c r="U105" s="40"/>
      <c r="V105" s="45"/>
      <c r="W105" s="45"/>
      <c r="X105" s="45"/>
    </row>
    <row r="106" spans="1:24" ht="26.25" customHeight="1" x14ac:dyDescent="0.2">
      <c r="A106" s="88"/>
      <c r="B106" s="34">
        <v>102</v>
      </c>
      <c r="C106" s="24" t="s">
        <v>23</v>
      </c>
      <c r="D106" s="18" t="s">
        <v>28</v>
      </c>
      <c r="E106" s="19" t="s">
        <v>29</v>
      </c>
      <c r="F106" s="46">
        <v>39766</v>
      </c>
      <c r="G106" s="46">
        <f t="shared" si="17"/>
        <v>39780</v>
      </c>
      <c r="H106" s="47">
        <v>14</v>
      </c>
      <c r="I106" s="47" t="s">
        <v>0</v>
      </c>
      <c r="J106" s="43" t="s">
        <v>2</v>
      </c>
      <c r="K106" s="44">
        <v>0</v>
      </c>
      <c r="L106" s="43" t="s">
        <v>2</v>
      </c>
      <c r="M106" s="7">
        <v>36560000000</v>
      </c>
      <c r="N106" s="7">
        <v>36812366368</v>
      </c>
      <c r="O106" s="44">
        <v>1</v>
      </c>
      <c r="P106" s="44">
        <v>0.17749999999999999</v>
      </c>
      <c r="Q106" s="14">
        <v>0.17749999999999999</v>
      </c>
      <c r="R106" s="7">
        <f>+R105-M102+M106</f>
        <v>174017943269.11996</v>
      </c>
      <c r="S106" s="7">
        <f>+S105-N102+N106</f>
        <v>176170764968</v>
      </c>
      <c r="T106" s="6">
        <f t="shared" si="7"/>
        <v>6489400000</v>
      </c>
      <c r="U106" s="40"/>
      <c r="V106" s="45"/>
      <c r="W106" s="45"/>
      <c r="X106" s="45"/>
    </row>
    <row r="107" spans="1:24" ht="26.25" customHeight="1" x14ac:dyDescent="0.2">
      <c r="A107" s="88"/>
      <c r="B107" s="34">
        <v>103</v>
      </c>
      <c r="C107" s="24" t="s">
        <v>23</v>
      </c>
      <c r="D107" s="18" t="s">
        <v>28</v>
      </c>
      <c r="E107" s="19" t="s">
        <v>29</v>
      </c>
      <c r="F107" s="46">
        <v>39771</v>
      </c>
      <c r="G107" s="46">
        <f t="shared" si="17"/>
        <v>39785</v>
      </c>
      <c r="H107" s="47">
        <v>14</v>
      </c>
      <c r="I107" s="47" t="s">
        <v>0</v>
      </c>
      <c r="J107" s="43" t="s">
        <v>2</v>
      </c>
      <c r="K107" s="44">
        <v>0</v>
      </c>
      <c r="L107" s="43" t="s">
        <v>2</v>
      </c>
      <c r="M107" s="7">
        <v>40350000000</v>
      </c>
      <c r="N107" s="7">
        <v>40628527980</v>
      </c>
      <c r="O107" s="44">
        <v>1</v>
      </c>
      <c r="P107" s="44">
        <v>0.17749999999999999</v>
      </c>
      <c r="Q107" s="14">
        <v>0.17749999999999999</v>
      </c>
      <c r="R107" s="7">
        <f>R106-43325000000+M107</f>
        <v>171042943269.11996</v>
      </c>
      <c r="S107" s="7">
        <f>S106-43624063810+N107</f>
        <v>173175229138</v>
      </c>
      <c r="T107" s="6">
        <f t="shared" si="7"/>
        <v>7162125000</v>
      </c>
      <c r="U107" s="40"/>
      <c r="V107" s="45"/>
      <c r="W107" s="45"/>
      <c r="X107" s="45"/>
    </row>
    <row r="108" spans="1:24" ht="26.25" customHeight="1" x14ac:dyDescent="0.2">
      <c r="A108" s="88"/>
      <c r="B108" s="29">
        <v>104</v>
      </c>
      <c r="C108" s="24" t="s">
        <v>23</v>
      </c>
      <c r="D108" s="18" t="s">
        <v>28</v>
      </c>
      <c r="E108" s="19" t="s">
        <v>29</v>
      </c>
      <c r="F108" s="48">
        <v>39773</v>
      </c>
      <c r="G108" s="48">
        <f t="shared" si="17"/>
        <v>39787</v>
      </c>
      <c r="H108" s="49">
        <v>14</v>
      </c>
      <c r="I108" s="49" t="s">
        <v>0</v>
      </c>
      <c r="J108" s="50" t="s">
        <v>2</v>
      </c>
      <c r="K108" s="51">
        <v>0</v>
      </c>
      <c r="L108" s="50" t="s">
        <v>2</v>
      </c>
      <c r="M108" s="11">
        <v>40600000000</v>
      </c>
      <c r="N108" s="11">
        <v>40880253680</v>
      </c>
      <c r="O108" s="51">
        <v>1</v>
      </c>
      <c r="P108" s="51">
        <v>0.17749999999999999</v>
      </c>
      <c r="Q108" s="15">
        <v>0.17749999999999999</v>
      </c>
      <c r="R108" s="11">
        <f>R107-49325000000+M108</f>
        <v>162317943269.11996</v>
      </c>
      <c r="S108" s="11">
        <f>S107-49665480610+N108</f>
        <v>164390002208</v>
      </c>
      <c r="T108" s="6">
        <f t="shared" si="7"/>
        <v>7206500000</v>
      </c>
      <c r="U108" s="40"/>
      <c r="V108" s="45"/>
      <c r="W108" s="45"/>
      <c r="X108" s="45"/>
    </row>
    <row r="109" spans="1:24" ht="26.25" customHeight="1" x14ac:dyDescent="0.2">
      <c r="A109" s="88">
        <v>2008</v>
      </c>
      <c r="B109" s="33">
        <v>105</v>
      </c>
      <c r="C109" s="83" t="s">
        <v>24</v>
      </c>
      <c r="D109" s="16" t="s">
        <v>30</v>
      </c>
      <c r="E109" s="17" t="s">
        <v>25</v>
      </c>
      <c r="F109" s="64">
        <v>39776</v>
      </c>
      <c r="G109" s="64">
        <f t="shared" si="17"/>
        <v>39958</v>
      </c>
      <c r="H109" s="65">
        <v>182</v>
      </c>
      <c r="I109" s="65" t="s">
        <v>0</v>
      </c>
      <c r="J109" s="62">
        <v>2000000000</v>
      </c>
      <c r="K109" s="63">
        <v>0</v>
      </c>
      <c r="L109" s="62" t="s">
        <v>2</v>
      </c>
      <c r="M109" s="12">
        <v>1041456165</v>
      </c>
      <c r="N109" s="12">
        <v>1140000000</v>
      </c>
      <c r="O109" s="63">
        <v>0.56999999999999995</v>
      </c>
      <c r="P109" s="63">
        <v>0.19500000000000001</v>
      </c>
      <c r="Q109" s="63">
        <v>0.18720000000000001</v>
      </c>
      <c r="R109" s="12">
        <f>R108-1386135085+M109</f>
        <v>161973264349.11996</v>
      </c>
      <c r="S109" s="12">
        <f>S108-1500000000+N109</f>
        <v>164030002208</v>
      </c>
      <c r="T109" s="6">
        <f t="shared" si="7"/>
        <v>194960594.088</v>
      </c>
      <c r="U109" s="40"/>
      <c r="V109" s="45"/>
      <c r="W109" s="45"/>
      <c r="X109" s="45"/>
    </row>
    <row r="110" spans="1:24" ht="26.25" customHeight="1" x14ac:dyDescent="0.2">
      <c r="A110" s="88"/>
      <c r="B110" s="34">
        <v>106</v>
      </c>
      <c r="C110" s="24" t="s">
        <v>23</v>
      </c>
      <c r="D110" s="18" t="s">
        <v>28</v>
      </c>
      <c r="E110" s="19" t="s">
        <v>29</v>
      </c>
      <c r="F110" s="41">
        <v>39778</v>
      </c>
      <c r="G110" s="41">
        <f t="shared" si="17"/>
        <v>39792</v>
      </c>
      <c r="H110" s="42">
        <v>14</v>
      </c>
      <c r="I110" s="42" t="s">
        <v>0</v>
      </c>
      <c r="J110" s="43" t="s">
        <v>2</v>
      </c>
      <c r="K110" s="44">
        <v>0</v>
      </c>
      <c r="L110" s="43" t="s">
        <v>2</v>
      </c>
      <c r="M110" s="7">
        <v>39770000000</v>
      </c>
      <c r="N110" s="7">
        <v>40044524356</v>
      </c>
      <c r="O110" s="44">
        <v>1</v>
      </c>
      <c r="P110" s="44">
        <v>0.17749999999999999</v>
      </c>
      <c r="Q110" s="44">
        <v>0.17749999999999999</v>
      </c>
      <c r="R110" s="7">
        <f>+R109+M110-M105</f>
        <v>169893264349.11996</v>
      </c>
      <c r="S110" s="7">
        <f>+S109+N110-N105</f>
        <v>172004672384</v>
      </c>
      <c r="T110" s="6">
        <f t="shared" si="7"/>
        <v>7059175000</v>
      </c>
      <c r="U110" s="40"/>
      <c r="V110" s="45"/>
      <c r="W110" s="45"/>
      <c r="X110" s="45"/>
    </row>
    <row r="111" spans="1:24" ht="26.25" customHeight="1" x14ac:dyDescent="0.2">
      <c r="A111" s="88"/>
      <c r="B111" s="34">
        <v>107</v>
      </c>
      <c r="C111" s="24" t="s">
        <v>23</v>
      </c>
      <c r="D111" s="18" t="s">
        <v>28</v>
      </c>
      <c r="E111" s="19" t="s">
        <v>29</v>
      </c>
      <c r="F111" s="41">
        <v>39780</v>
      </c>
      <c r="G111" s="41">
        <f t="shared" si="17"/>
        <v>39794</v>
      </c>
      <c r="H111" s="42">
        <v>14</v>
      </c>
      <c r="I111" s="42" t="s">
        <v>0</v>
      </c>
      <c r="J111" s="43" t="s">
        <v>2</v>
      </c>
      <c r="K111" s="44">
        <v>0</v>
      </c>
      <c r="L111" s="43" t="s">
        <v>2</v>
      </c>
      <c r="M111" s="7">
        <v>34865000000</v>
      </c>
      <c r="N111" s="7">
        <v>35105666122</v>
      </c>
      <c r="O111" s="44">
        <v>1</v>
      </c>
      <c r="P111" s="44">
        <v>0.17749999999999999</v>
      </c>
      <c r="Q111" s="44">
        <v>0.17749999999999999</v>
      </c>
      <c r="R111" s="7">
        <f>R110-36560000000+M111</f>
        <v>168198264349.11996</v>
      </c>
      <c r="S111" s="7">
        <f>S110-36812366368+N111</f>
        <v>170297972138</v>
      </c>
      <c r="T111" s="6">
        <f t="shared" si="7"/>
        <v>6188537500</v>
      </c>
      <c r="U111" s="40"/>
      <c r="V111" s="45"/>
      <c r="W111" s="45"/>
      <c r="X111" s="45"/>
    </row>
    <row r="112" spans="1:24" ht="26.25" customHeight="1" x14ac:dyDescent="0.2">
      <c r="A112" s="88"/>
      <c r="B112" s="34">
        <v>108</v>
      </c>
      <c r="C112" s="24" t="s">
        <v>23</v>
      </c>
      <c r="D112" s="18" t="s">
        <v>28</v>
      </c>
      <c r="E112" s="19" t="s">
        <v>29</v>
      </c>
      <c r="F112" s="41">
        <v>39785</v>
      </c>
      <c r="G112" s="41">
        <f t="shared" ref="G112:G119" si="18">+F112+H112</f>
        <v>39799</v>
      </c>
      <c r="H112" s="42">
        <v>14</v>
      </c>
      <c r="I112" s="42" t="s">
        <v>0</v>
      </c>
      <c r="J112" s="43" t="s">
        <v>2</v>
      </c>
      <c r="K112" s="44">
        <v>0</v>
      </c>
      <c r="L112" s="43" t="s">
        <v>2</v>
      </c>
      <c r="M112" s="7">
        <v>44225000000</v>
      </c>
      <c r="N112" s="7">
        <v>44530276330</v>
      </c>
      <c r="O112" s="44">
        <v>1</v>
      </c>
      <c r="P112" s="44">
        <v>0.17749999999999999</v>
      </c>
      <c r="Q112" s="44">
        <v>0.17749999999999999</v>
      </c>
      <c r="R112" s="7">
        <f>+R111-M107+M112</f>
        <v>172073264349.11996</v>
      </c>
      <c r="S112" s="7">
        <f>+S111-N107+N112</f>
        <v>174199720488</v>
      </c>
      <c r="T112" s="6">
        <f t="shared" si="7"/>
        <v>7849937500</v>
      </c>
      <c r="U112" s="40"/>
      <c r="V112" s="45"/>
      <c r="W112" s="45"/>
      <c r="X112" s="45"/>
    </row>
    <row r="113" spans="1:24" ht="26.25" customHeight="1" x14ac:dyDescent="0.2">
      <c r="A113" s="88"/>
      <c r="B113" s="34">
        <v>109</v>
      </c>
      <c r="C113" s="24" t="s">
        <v>23</v>
      </c>
      <c r="D113" s="18" t="s">
        <v>28</v>
      </c>
      <c r="E113" s="19" t="s">
        <v>29</v>
      </c>
      <c r="F113" s="41">
        <v>39787</v>
      </c>
      <c r="G113" s="41">
        <f t="shared" si="18"/>
        <v>39801</v>
      </c>
      <c r="H113" s="42">
        <v>14</v>
      </c>
      <c r="I113" s="42" t="s">
        <v>0</v>
      </c>
      <c r="J113" s="43" t="s">
        <v>2</v>
      </c>
      <c r="K113" s="44">
        <v>0</v>
      </c>
      <c r="L113" s="43" t="s">
        <v>2</v>
      </c>
      <c r="M113" s="7">
        <v>35165000000</v>
      </c>
      <c r="N113" s="7">
        <v>35407736962</v>
      </c>
      <c r="O113" s="44">
        <v>1</v>
      </c>
      <c r="P113" s="44">
        <v>0.17749999999999999</v>
      </c>
      <c r="Q113" s="44">
        <v>0.17749999999999999</v>
      </c>
      <c r="R113" s="7">
        <f>+R112+M113-M108</f>
        <v>166638264349.11996</v>
      </c>
      <c r="S113" s="7">
        <f>+S112+N113-N108</f>
        <v>168727203770</v>
      </c>
      <c r="T113" s="6">
        <f t="shared" si="7"/>
        <v>6241787500</v>
      </c>
      <c r="U113" s="40"/>
      <c r="V113" s="45"/>
      <c r="W113" s="45"/>
      <c r="X113" s="45"/>
    </row>
    <row r="114" spans="1:24" ht="26.25" customHeight="1" x14ac:dyDescent="0.2">
      <c r="A114" s="88"/>
      <c r="B114" s="34">
        <v>110</v>
      </c>
      <c r="C114" s="24" t="s">
        <v>23</v>
      </c>
      <c r="D114" s="18" t="s">
        <v>28</v>
      </c>
      <c r="E114" s="19" t="s">
        <v>29</v>
      </c>
      <c r="F114" s="41">
        <v>39792</v>
      </c>
      <c r="G114" s="41">
        <f t="shared" si="18"/>
        <v>39806</v>
      </c>
      <c r="H114" s="42">
        <v>14</v>
      </c>
      <c r="I114" s="42" t="s">
        <v>0</v>
      </c>
      <c r="J114" s="43" t="s">
        <v>2</v>
      </c>
      <c r="K114" s="44">
        <v>0</v>
      </c>
      <c r="L114" s="43" t="s">
        <v>2</v>
      </c>
      <c r="M114" s="7">
        <v>46765000000</v>
      </c>
      <c r="N114" s="7">
        <v>47087809442</v>
      </c>
      <c r="O114" s="44">
        <v>1</v>
      </c>
      <c r="P114" s="44">
        <v>0.17749999999999999</v>
      </c>
      <c r="Q114" s="44">
        <v>0.17749999999999999</v>
      </c>
      <c r="R114" s="7">
        <f>R113-39770000000+M114</f>
        <v>173633264349.11996</v>
      </c>
      <c r="S114" s="7">
        <f>S113-40044524356+N114</f>
        <v>175770488856</v>
      </c>
      <c r="T114" s="6">
        <f t="shared" si="7"/>
        <v>8300787500</v>
      </c>
      <c r="U114" s="40"/>
      <c r="V114" s="45"/>
      <c r="W114" s="45"/>
      <c r="X114" s="45"/>
    </row>
    <row r="115" spans="1:24" ht="26.25" customHeight="1" x14ac:dyDescent="0.2">
      <c r="A115" s="88"/>
      <c r="B115" s="34">
        <v>111</v>
      </c>
      <c r="C115" s="24" t="s">
        <v>23</v>
      </c>
      <c r="D115" s="18" t="s">
        <v>28</v>
      </c>
      <c r="E115" s="19" t="s">
        <v>29</v>
      </c>
      <c r="F115" s="41">
        <v>39794</v>
      </c>
      <c r="G115" s="41">
        <f t="shared" si="18"/>
        <v>39808</v>
      </c>
      <c r="H115" s="42">
        <v>14</v>
      </c>
      <c r="I115" s="42" t="s">
        <v>0</v>
      </c>
      <c r="J115" s="43" t="s">
        <v>2</v>
      </c>
      <c r="K115" s="44">
        <v>0</v>
      </c>
      <c r="L115" s="43" t="s">
        <v>2</v>
      </c>
      <c r="M115" s="7">
        <v>31185000000</v>
      </c>
      <c r="N115" s="7">
        <v>31400263818</v>
      </c>
      <c r="O115" s="44">
        <v>1</v>
      </c>
      <c r="P115" s="44">
        <v>0.17749999999999999</v>
      </c>
      <c r="Q115" s="44">
        <v>0.17749999999999999</v>
      </c>
      <c r="R115" s="7">
        <f>+R114-M111+M115</f>
        <v>169953264349.11996</v>
      </c>
      <c r="S115" s="7">
        <f>+S114-N111+N115</f>
        <v>172065086552</v>
      </c>
      <c r="T115" s="6">
        <f t="shared" si="7"/>
        <v>5535337500</v>
      </c>
      <c r="U115" s="40"/>
      <c r="V115" s="45"/>
      <c r="W115" s="45"/>
      <c r="X115" s="45"/>
    </row>
    <row r="116" spans="1:24" ht="26.25" customHeight="1" x14ac:dyDescent="0.2">
      <c r="A116" s="88"/>
      <c r="B116" s="34">
        <v>112</v>
      </c>
      <c r="C116" s="24" t="s">
        <v>23</v>
      </c>
      <c r="D116" s="18" t="s">
        <v>28</v>
      </c>
      <c r="E116" s="19" t="s">
        <v>29</v>
      </c>
      <c r="F116" s="41">
        <v>39799</v>
      </c>
      <c r="G116" s="41">
        <f t="shared" si="18"/>
        <v>39813</v>
      </c>
      <c r="H116" s="42">
        <v>14</v>
      </c>
      <c r="I116" s="42" t="s">
        <v>0</v>
      </c>
      <c r="J116" s="43" t="s">
        <v>2</v>
      </c>
      <c r="K116" s="44">
        <v>0</v>
      </c>
      <c r="L116" s="43" t="s">
        <v>2</v>
      </c>
      <c r="M116" s="7">
        <v>31990000000</v>
      </c>
      <c r="N116" s="7">
        <v>32210820572</v>
      </c>
      <c r="O116" s="44">
        <v>1</v>
      </c>
      <c r="P116" s="44">
        <v>0.17749999999999999</v>
      </c>
      <c r="Q116" s="44">
        <v>0.17749999999999999</v>
      </c>
      <c r="R116" s="7">
        <f>R115-44225000000+M116</f>
        <v>157718264349.11996</v>
      </c>
      <c r="S116" s="7">
        <f>S115-44530276330+N116</f>
        <v>159745630794</v>
      </c>
      <c r="T116" s="6">
        <f t="shared" si="7"/>
        <v>5678225000</v>
      </c>
      <c r="U116" s="40"/>
      <c r="V116" s="45"/>
      <c r="W116" s="45"/>
      <c r="X116" s="45"/>
    </row>
    <row r="117" spans="1:24" ht="26.25" customHeight="1" x14ac:dyDescent="0.2">
      <c r="A117" s="88"/>
      <c r="B117" s="29">
        <v>113</v>
      </c>
      <c r="C117" s="24" t="s">
        <v>23</v>
      </c>
      <c r="D117" s="18" t="s">
        <v>28</v>
      </c>
      <c r="E117" s="19" t="s">
        <v>29</v>
      </c>
      <c r="F117" s="58">
        <v>39801</v>
      </c>
      <c r="G117" s="58">
        <f t="shared" si="18"/>
        <v>39813</v>
      </c>
      <c r="H117" s="59">
        <v>12</v>
      </c>
      <c r="I117" s="59" t="s">
        <v>0</v>
      </c>
      <c r="J117" s="50" t="s">
        <v>2</v>
      </c>
      <c r="K117" s="51">
        <v>0</v>
      </c>
      <c r="L117" s="50" t="s">
        <v>2</v>
      </c>
      <c r="M117" s="11">
        <v>20940000000</v>
      </c>
      <c r="N117" s="11">
        <v>21063895698</v>
      </c>
      <c r="O117" s="51">
        <v>1</v>
      </c>
      <c r="P117" s="51">
        <v>0.17749999999999999</v>
      </c>
      <c r="Q117" s="51">
        <v>0.17749999999999999</v>
      </c>
      <c r="R117" s="11">
        <f>+R116-M113+M117</f>
        <v>143493264349.11996</v>
      </c>
      <c r="S117" s="11">
        <f>+S116-N113+N117</f>
        <v>145401789530</v>
      </c>
      <c r="T117" s="6">
        <f t="shared" si="7"/>
        <v>3716850000</v>
      </c>
      <c r="U117" s="40"/>
      <c r="V117" s="45"/>
      <c r="W117" s="45"/>
      <c r="X117" s="45"/>
    </row>
    <row r="118" spans="1:24" ht="26.25" customHeight="1" x14ac:dyDescent="0.2">
      <c r="A118" s="88"/>
      <c r="B118" s="28">
        <v>114</v>
      </c>
      <c r="C118" s="24" t="s">
        <v>24</v>
      </c>
      <c r="D118" s="18" t="s">
        <v>30</v>
      </c>
      <c r="E118" s="19" t="s">
        <v>25</v>
      </c>
      <c r="F118" s="41">
        <v>39804</v>
      </c>
      <c r="G118" s="41">
        <f t="shared" si="18"/>
        <v>39986</v>
      </c>
      <c r="H118" s="42">
        <v>182</v>
      </c>
      <c r="I118" s="42" t="s">
        <v>0</v>
      </c>
      <c r="J118" s="43">
        <v>2000000000</v>
      </c>
      <c r="K118" s="44">
        <v>0</v>
      </c>
      <c r="L118" s="43" t="s">
        <v>2</v>
      </c>
      <c r="M118" s="7">
        <v>1823161434.04</v>
      </c>
      <c r="N118" s="7">
        <v>2000000000</v>
      </c>
      <c r="O118" s="44">
        <v>1</v>
      </c>
      <c r="P118" s="44">
        <v>0.19489999999999999</v>
      </c>
      <c r="Q118" s="44">
        <v>0.19189999999999999</v>
      </c>
      <c r="R118" s="7">
        <f>+R117-M60+M118</f>
        <v>143005968346.35999</v>
      </c>
      <c r="S118" s="7">
        <f>+S117-N60+N118</f>
        <v>144902789530</v>
      </c>
      <c r="T118" s="6">
        <f t="shared" si="7"/>
        <v>349864679.19227594</v>
      </c>
      <c r="U118" s="40"/>
      <c r="V118" s="45"/>
      <c r="W118" s="45"/>
      <c r="X118" s="45"/>
    </row>
    <row r="119" spans="1:24" ht="26.25" customHeight="1" x14ac:dyDescent="0.2">
      <c r="A119" s="88"/>
      <c r="B119" s="28">
        <v>115</v>
      </c>
      <c r="C119" s="24" t="s">
        <v>23</v>
      </c>
      <c r="D119" s="18" t="s">
        <v>28</v>
      </c>
      <c r="E119" s="19" t="s">
        <v>29</v>
      </c>
      <c r="F119" s="41">
        <v>39806</v>
      </c>
      <c r="G119" s="41">
        <f t="shared" si="18"/>
        <v>39821</v>
      </c>
      <c r="H119" s="42">
        <v>15</v>
      </c>
      <c r="I119" s="42" t="s">
        <v>0</v>
      </c>
      <c r="J119" s="43" t="s">
        <v>2</v>
      </c>
      <c r="K119" s="44">
        <v>0</v>
      </c>
      <c r="L119" s="43" t="s">
        <v>2</v>
      </c>
      <c r="M119" s="7">
        <v>20075000000</v>
      </c>
      <c r="N119" s="7">
        <v>20223470685</v>
      </c>
      <c r="O119" s="44">
        <v>1</v>
      </c>
      <c r="P119" s="44">
        <v>0.17749999999999999</v>
      </c>
      <c r="Q119" s="44">
        <v>0.17749999999999999</v>
      </c>
      <c r="R119" s="7">
        <f>+R118+M119-M114</f>
        <v>116315968346.35999</v>
      </c>
      <c r="S119" s="7">
        <f>+S118+N119-N114</f>
        <v>118038450773</v>
      </c>
      <c r="T119" s="6">
        <f t="shared" si="7"/>
        <v>3563312500</v>
      </c>
      <c r="U119" s="40"/>
      <c r="V119" s="45"/>
      <c r="W119" s="45"/>
      <c r="X119" s="45"/>
    </row>
    <row r="120" spans="1:24" ht="26.25" customHeight="1" x14ac:dyDescent="0.2">
      <c r="A120" s="88"/>
      <c r="B120" s="28">
        <v>116</v>
      </c>
      <c r="C120" s="24" t="s">
        <v>23</v>
      </c>
      <c r="D120" s="18" t="s">
        <v>28</v>
      </c>
      <c r="E120" s="19" t="s">
        <v>29</v>
      </c>
      <c r="F120" s="41">
        <v>39808</v>
      </c>
      <c r="G120" s="41">
        <f>+F120+H120</f>
        <v>39822</v>
      </c>
      <c r="H120" s="42">
        <v>14</v>
      </c>
      <c r="I120" s="42" t="s">
        <v>0</v>
      </c>
      <c r="J120" s="43" t="s">
        <v>2</v>
      </c>
      <c r="K120" s="44">
        <v>0</v>
      </c>
      <c r="L120" s="43" t="s">
        <v>2</v>
      </c>
      <c r="M120" s="7">
        <v>17350000000</v>
      </c>
      <c r="N120" s="7">
        <v>17469763580</v>
      </c>
      <c r="O120" s="44">
        <v>1</v>
      </c>
      <c r="P120" s="44">
        <v>0.17749999999999999</v>
      </c>
      <c r="Q120" s="44">
        <v>0.17749999999999999</v>
      </c>
      <c r="R120" s="7">
        <f>R119-31185000000+M120</f>
        <v>102480968346.35999</v>
      </c>
      <c r="S120" s="7">
        <f>S119-31400263818+N120</f>
        <v>104107950535</v>
      </c>
      <c r="T120" s="6">
        <f t="shared" si="7"/>
        <v>3079625000</v>
      </c>
      <c r="U120" s="40"/>
      <c r="V120" s="45"/>
      <c r="W120" s="45"/>
      <c r="X120" s="45"/>
    </row>
    <row r="121" spans="1:24" ht="26.25" customHeight="1" x14ac:dyDescent="0.2">
      <c r="A121" s="88"/>
      <c r="B121" s="29">
        <v>117</v>
      </c>
      <c r="C121" s="24" t="s">
        <v>23</v>
      </c>
      <c r="D121" s="18" t="s">
        <v>28</v>
      </c>
      <c r="E121" s="19" t="s">
        <v>29</v>
      </c>
      <c r="F121" s="41">
        <v>39813</v>
      </c>
      <c r="G121" s="58">
        <f>+F121+H121</f>
        <v>39827</v>
      </c>
      <c r="H121" s="59">
        <v>14</v>
      </c>
      <c r="I121" s="42" t="s">
        <v>0</v>
      </c>
      <c r="J121" s="43" t="s">
        <v>2</v>
      </c>
      <c r="K121" s="44">
        <v>0</v>
      </c>
      <c r="L121" s="43" t="s">
        <v>2</v>
      </c>
      <c r="M121" s="11">
        <v>22010000000</v>
      </c>
      <c r="N121" s="11">
        <v>22161930628</v>
      </c>
      <c r="O121" s="44">
        <v>1</v>
      </c>
      <c r="P121" s="44">
        <v>0.17749999999999999</v>
      </c>
      <c r="Q121" s="44">
        <v>0.17749999999999999</v>
      </c>
      <c r="R121" s="11">
        <f>+R120+M121-M116</f>
        <v>92500968346.359985</v>
      </c>
      <c r="S121" s="11">
        <f>+S120+N121-N116</f>
        <v>94059060591</v>
      </c>
      <c r="T121" s="6">
        <f t="shared" si="7"/>
        <v>3906775000</v>
      </c>
      <c r="U121" s="40"/>
      <c r="V121" s="45"/>
      <c r="W121" s="45"/>
      <c r="X121" s="45"/>
    </row>
    <row r="122" spans="1:24" ht="26.25" customHeight="1" x14ac:dyDescent="0.2">
      <c r="A122" s="89"/>
      <c r="B122" s="30">
        <v>118</v>
      </c>
      <c r="C122" s="25" t="s">
        <v>23</v>
      </c>
      <c r="D122" s="20" t="s">
        <v>28</v>
      </c>
      <c r="E122" s="21" t="s">
        <v>29</v>
      </c>
      <c r="F122" s="66">
        <v>39813</v>
      </c>
      <c r="G122" s="66">
        <f>+F122+H122</f>
        <v>39829</v>
      </c>
      <c r="H122" s="67">
        <v>16</v>
      </c>
      <c r="I122" s="67" t="s">
        <v>0</v>
      </c>
      <c r="J122" s="54" t="s">
        <v>2</v>
      </c>
      <c r="K122" s="55">
        <v>0</v>
      </c>
      <c r="L122" s="54" t="s">
        <v>2</v>
      </c>
      <c r="M122" s="9">
        <v>18370000000</v>
      </c>
      <c r="N122" s="9">
        <v>18514919093</v>
      </c>
      <c r="O122" s="55">
        <v>1</v>
      </c>
      <c r="P122" s="55">
        <v>0.17749999999999999</v>
      </c>
      <c r="Q122" s="55">
        <v>0.17749999999999999</v>
      </c>
      <c r="R122" s="9">
        <f>+R121+M122-M117</f>
        <v>89930968346.359985</v>
      </c>
      <c r="S122" s="9">
        <f>+S121+N122-N117</f>
        <v>91510083986</v>
      </c>
      <c r="T122" s="6">
        <f>Q122*M122</f>
        <v>3260675000</v>
      </c>
      <c r="U122" s="40"/>
      <c r="V122" s="45"/>
      <c r="W122" s="45"/>
      <c r="X122" s="45"/>
    </row>
    <row r="123" spans="1:24" ht="17.25" customHeight="1" x14ac:dyDescent="0.2">
      <c r="A123" s="22"/>
      <c r="B123" s="22"/>
      <c r="C123" s="22"/>
      <c r="D123" s="22"/>
      <c r="E123" s="22"/>
      <c r="F123" s="68"/>
      <c r="G123" s="22"/>
      <c r="H123" s="22"/>
      <c r="I123" s="22"/>
      <c r="J123" s="22"/>
      <c r="K123" s="22"/>
      <c r="L123" s="22"/>
      <c r="M123" s="69">
        <f>SUM(M5:M122)</f>
        <v>5239123717415.959</v>
      </c>
      <c r="N123" s="4"/>
      <c r="O123" s="22"/>
      <c r="P123" s="22"/>
      <c r="Q123" s="70">
        <v>0.1467</v>
      </c>
      <c r="R123" s="22"/>
      <c r="S123" s="22"/>
      <c r="T123" s="6">
        <f>SUM(T5:T122)</f>
        <v>768722964224.69092</v>
      </c>
      <c r="U123" s="40"/>
      <c r="V123" s="45"/>
      <c r="W123" s="45"/>
      <c r="X123" s="45"/>
    </row>
    <row r="124" spans="1:24" x14ac:dyDescent="0.2">
      <c r="C124" s="2"/>
      <c r="D124" s="2"/>
      <c r="E124" s="2"/>
      <c r="F124" s="2"/>
      <c r="G124" s="2"/>
      <c r="H124" s="2"/>
      <c r="I124" s="2"/>
      <c r="J124" s="71"/>
      <c r="L124" s="72"/>
      <c r="M124" s="72"/>
      <c r="O124" s="73"/>
      <c r="R124" s="3"/>
      <c r="S124" s="3"/>
      <c r="T124" s="74"/>
      <c r="U124" s="73"/>
    </row>
    <row r="125" spans="1:24" x14ac:dyDescent="0.2">
      <c r="A125" s="75" t="s">
        <v>1</v>
      </c>
      <c r="C125" s="2"/>
      <c r="D125" s="2"/>
      <c r="E125" s="2"/>
      <c r="F125" s="2"/>
      <c r="G125" s="2"/>
      <c r="H125" s="2"/>
      <c r="I125" s="2"/>
      <c r="J125" s="2"/>
      <c r="M125" s="72"/>
      <c r="N125" s="72"/>
      <c r="R125" s="72"/>
      <c r="S125" s="72"/>
      <c r="T125" s="74"/>
      <c r="U125" s="76"/>
    </row>
    <row r="126" spans="1:24" x14ac:dyDescent="0.2">
      <c r="A126" s="77" t="s">
        <v>32</v>
      </c>
      <c r="C126" s="2"/>
      <c r="D126" s="2"/>
      <c r="E126" s="2"/>
      <c r="F126" s="2"/>
      <c r="G126" s="2"/>
      <c r="H126" s="2"/>
      <c r="I126" s="2"/>
      <c r="J126" s="71"/>
      <c r="M126" s="72"/>
      <c r="N126" s="72"/>
      <c r="R126" s="72"/>
      <c r="S126" s="72"/>
      <c r="T126" s="74"/>
      <c r="U126" s="76"/>
    </row>
    <row r="127" spans="1:24" x14ac:dyDescent="0.2">
      <c r="A127" s="77" t="s">
        <v>31</v>
      </c>
      <c r="C127" s="2"/>
      <c r="D127" s="2"/>
      <c r="E127" s="2"/>
      <c r="F127" s="2"/>
      <c r="G127" s="2"/>
      <c r="H127" s="2"/>
      <c r="I127" s="2"/>
      <c r="J127" s="71"/>
      <c r="M127" s="72"/>
      <c r="N127" s="72"/>
      <c r="R127" s="72"/>
      <c r="S127" s="72"/>
      <c r="T127" s="74"/>
      <c r="U127" s="76"/>
    </row>
    <row r="128" spans="1:24" x14ac:dyDescent="0.2">
      <c r="A128" s="1" t="s">
        <v>34</v>
      </c>
      <c r="C128" s="2"/>
      <c r="D128" s="2"/>
      <c r="E128" s="2"/>
      <c r="F128" s="2"/>
      <c r="G128" s="2"/>
      <c r="H128" s="2"/>
      <c r="I128" s="2"/>
      <c r="J128" s="71"/>
      <c r="M128" s="72"/>
      <c r="N128" s="72"/>
      <c r="R128" s="72"/>
      <c r="S128" s="72"/>
      <c r="T128" s="74"/>
      <c r="U128" s="76"/>
    </row>
    <row r="129" spans="1:21" x14ac:dyDescent="0.2">
      <c r="A129" s="1" t="s">
        <v>33</v>
      </c>
      <c r="C129" s="2"/>
      <c r="D129" s="2"/>
      <c r="E129" s="2"/>
      <c r="F129" s="2"/>
      <c r="G129" s="2"/>
      <c r="H129" s="2"/>
      <c r="I129" s="2"/>
      <c r="J129" s="2"/>
      <c r="L129" s="72"/>
      <c r="M129" s="72"/>
      <c r="N129" s="72"/>
      <c r="O129" s="72"/>
      <c r="P129" s="72"/>
      <c r="Q129" s="72"/>
      <c r="R129" s="78"/>
      <c r="S129" s="78"/>
      <c r="T129" s="79"/>
      <c r="U129" s="80"/>
    </row>
    <row r="130" spans="1:21" ht="15" customHeight="1" x14ac:dyDescent="0.2">
      <c r="A130" s="90" t="s">
        <v>35</v>
      </c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T130" s="74"/>
      <c r="U130" s="80"/>
    </row>
    <row r="131" spans="1:21" ht="27" customHeight="1" x14ac:dyDescent="0.2">
      <c r="A131" s="86" t="s">
        <v>36</v>
      </c>
      <c r="B131" s="86"/>
      <c r="C131" s="86"/>
      <c r="D131" s="86"/>
      <c r="E131" s="86"/>
      <c r="F131" s="86"/>
      <c r="G131" s="86"/>
      <c r="H131" s="86"/>
      <c r="I131" s="96" t="s">
        <v>38</v>
      </c>
      <c r="J131" s="97"/>
      <c r="K131" s="97"/>
      <c r="L131" s="97"/>
      <c r="M131" s="97"/>
      <c r="N131" s="97"/>
      <c r="O131" s="97"/>
      <c r="P131" s="97"/>
      <c r="S131" s="78"/>
      <c r="U131" s="80"/>
    </row>
    <row r="132" spans="1:21" ht="22.5" customHeight="1" x14ac:dyDescent="0.2">
      <c r="A132" s="98" t="s">
        <v>37</v>
      </c>
      <c r="B132" s="98"/>
      <c r="C132" s="98"/>
      <c r="D132" s="98"/>
      <c r="E132" s="98"/>
      <c r="F132" s="98"/>
      <c r="G132" s="98"/>
      <c r="H132" s="98"/>
      <c r="I132" s="99" t="s">
        <v>39</v>
      </c>
      <c r="J132" s="99"/>
      <c r="K132" s="99"/>
      <c r="L132" s="99"/>
      <c r="M132" s="99"/>
      <c r="N132" s="99"/>
      <c r="O132" s="99"/>
      <c r="R132" s="81"/>
      <c r="S132" s="81"/>
      <c r="T132" s="81"/>
      <c r="U132" s="72"/>
    </row>
    <row r="133" spans="1:21" ht="15" customHeight="1" x14ac:dyDescent="0.2">
      <c r="A133" s="1" t="s">
        <v>40</v>
      </c>
      <c r="C133" s="2"/>
      <c r="D133" s="2"/>
      <c r="E133" s="2"/>
      <c r="F133" s="2"/>
      <c r="G133" s="2"/>
      <c r="H133" s="2"/>
      <c r="I133" s="1" t="s">
        <v>41</v>
      </c>
      <c r="J133" s="2"/>
    </row>
    <row r="134" spans="1:21" ht="15" customHeight="1" x14ac:dyDescent="0.2">
      <c r="A134" s="1" t="s">
        <v>42</v>
      </c>
      <c r="C134" s="2"/>
      <c r="D134" s="2"/>
      <c r="E134" s="2"/>
      <c r="F134" s="2"/>
      <c r="G134" s="2"/>
      <c r="H134" s="2"/>
      <c r="I134" s="2"/>
      <c r="J134" s="2"/>
      <c r="L134" s="82" t="s">
        <v>43</v>
      </c>
    </row>
    <row r="135" spans="1:21" ht="22.5" customHeight="1" x14ac:dyDescent="0.2">
      <c r="A135" s="1" t="s">
        <v>44</v>
      </c>
      <c r="B135" s="2"/>
      <c r="C135" s="2"/>
      <c r="D135" s="2"/>
      <c r="E135" s="2"/>
      <c r="F135" s="2"/>
      <c r="G135" s="2"/>
      <c r="H135" s="2"/>
      <c r="I135" s="2"/>
      <c r="J135" s="2"/>
      <c r="M135" s="94" t="s">
        <v>45</v>
      </c>
      <c r="N135" s="95"/>
      <c r="O135" s="95"/>
      <c r="P135" s="95"/>
      <c r="Q135" s="95"/>
      <c r="R135" s="95"/>
      <c r="S135" s="95"/>
    </row>
    <row r="136" spans="1:21" x14ac:dyDescent="0.2">
      <c r="A136" s="1" t="s">
        <v>46</v>
      </c>
      <c r="O136" s="1" t="s">
        <v>47</v>
      </c>
    </row>
    <row r="137" spans="1:21" x14ac:dyDescent="0.2">
      <c r="O137" s="2" t="s">
        <v>22</v>
      </c>
    </row>
  </sheetData>
  <sheetProtection password="CF7A" sheet="1"/>
  <mergeCells count="27">
    <mergeCell ref="A132:H132"/>
    <mergeCell ref="I132:O132"/>
    <mergeCell ref="A1:S1"/>
    <mergeCell ref="A3:A4"/>
    <mergeCell ref="R3:S3"/>
    <mergeCell ref="B3:B4"/>
    <mergeCell ref="C3:C4"/>
    <mergeCell ref="E3:E4"/>
    <mergeCell ref="H3:H4"/>
    <mergeCell ref="Q3:Q4"/>
    <mergeCell ref="O3:O4"/>
    <mergeCell ref="M3:N3"/>
    <mergeCell ref="M135:S135"/>
    <mergeCell ref="P3:P4"/>
    <mergeCell ref="K3:K4"/>
    <mergeCell ref="L3:L4"/>
    <mergeCell ref="I131:P131"/>
    <mergeCell ref="J3:J4"/>
    <mergeCell ref="G3:G4"/>
    <mergeCell ref="A131:H131"/>
    <mergeCell ref="A5:A58"/>
    <mergeCell ref="A130:L130"/>
    <mergeCell ref="F3:F4"/>
    <mergeCell ref="I3:I4"/>
    <mergeCell ref="A59:A108"/>
    <mergeCell ref="A109:A122"/>
    <mergeCell ref="D3:D4"/>
  </mergeCells>
  <phoneticPr fontId="2" type="noConversion"/>
  <printOptions horizontalCentered="1"/>
  <pageMargins left="0.19685039370078741" right="0.19685039370078741" top="1.1811023622047245" bottom="0.78740157480314965" header="0.39370078740157483" footer="0.39370078740157483"/>
  <pageSetup paperSize="9" scale="50" orientation="landscape" r:id="rId1"/>
  <headerFooter alignWithMargins="0">
    <oddHeader>&amp;L&amp;"Arial,Bold"NARODNA BANKA SRBIJE
NATIONAL BANK OF SERBIA&amp;"Arial,Regular"
Sektor za poslove monetarnog sistema i politike
Monetary system and policy department</oddHeader>
    <oddFooter>&amp;L&amp;7Izvor: NBS/Source:NBS
Dozvoljeno je preuzimanje i korišćenje baza podataka, ali NBS iz tehničkih razloga ne garantuje za njihovu verodostojnost i potpunost&amp;R&amp;P</oddFooter>
  </headerFooter>
  <rowBreaks count="2" manualBreakCount="2">
    <brk id="58" max="17" man="1"/>
    <brk id="7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2008</vt:lpstr>
      <vt:lpstr>'2008'!Print_Area</vt:lpstr>
      <vt:lpstr>'2008'!Print_Titles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keywords> [SEC=JAVNO]</cp:keywords>
  <cp:lastModifiedBy>Andrijana Pusica</cp:lastModifiedBy>
  <cp:lastPrinted>2011-08-05T08:40:38Z</cp:lastPrinted>
  <dcterms:created xsi:type="dcterms:W3CDTF">2005-02-25T09:29:39Z</dcterms:created>
  <dcterms:modified xsi:type="dcterms:W3CDTF">2025-02-27T10:52:07Z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2350646810D7E427E1489E3D4AAA94585917E545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2A3906BF4FC52130F5B5E633A1DFFEE255F33B08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3654B5ACF9BF4B8A91992F3C19DCE2FE</vt:lpwstr>
  </property>
  <property fmtid="{D5CDD505-2E9C-101B-9397-08002B2CF9AE}" pid="16" name="PM_OriginationTimeStamp">
    <vt:lpwstr>2025-02-27T10:52:06Z</vt:lpwstr>
  </property>
  <property fmtid="{D5CDD505-2E9C-101B-9397-08002B2CF9AE}" pid="17" name="PM_Hash_Version">
    <vt:lpwstr>2016.1</vt:lpwstr>
  </property>
  <property fmtid="{D5CDD505-2E9C-101B-9397-08002B2CF9AE}" pid="18" name="PM_Hash_Salt_Prev">
    <vt:lpwstr>9144862252E9B0B76A434C2CDFCC727B</vt:lpwstr>
  </property>
  <property fmtid="{D5CDD505-2E9C-101B-9397-08002B2CF9AE}" pid="19" name="PM_Hash_Salt">
    <vt:lpwstr>9144862252E9B0B76A434C2CDFCC727B</vt:lpwstr>
  </property>
  <property fmtid="{D5CDD505-2E9C-101B-9397-08002B2CF9AE}" pid="20" name="PM_PrintOutPlacement_XLS">
    <vt:lpwstr/>
  </property>
</Properties>
</file>